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3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7400" windowHeight="9315" tabRatio="520" activeTab="3"/>
  </bookViews>
  <sheets>
    <sheet name="SOMMAIRE" sheetId="4" r:id="rId1"/>
    <sheet name="BS" sheetId="13" r:id="rId2"/>
    <sheet name="INVENTORY" sheetId="12" r:id="rId3"/>
    <sheet name="WCR" sheetId="14" r:id="rId4"/>
    <sheet name="CF" sheetId="17" r:id="rId5"/>
  </sheets>
  <definedNames>
    <definedName name="__Analyzer_Connection" localSheetId="1">"BUWMONBFC1 BFC Finance HMY Reporting\1"</definedName>
    <definedName name="__Analyzer_Connection" localSheetId="2">"buwmonbfc1 BFC Finance HMY Reporting\1"</definedName>
    <definedName name="__Analyzer_Connection" localSheetId="0">"buwmonbfc1 bfc Finance HMY Reporting\1"</definedName>
    <definedName name="__Analyzer_Connection" localSheetId="3">"buwmonbfc1 bfc Finance HMY Reporting\1"</definedName>
    <definedName name="__Analyzer_SheetOptions" localSheetId="1" hidden="1">"GNGHGGGGGGGGGGGGGGGIGGGGGGGHGIGGGGGGGGGGGGGG"</definedName>
    <definedName name="__Analyzer_SheetOptions" localSheetId="2" hidden="1">"GNGHGGGGGGGGGGGGGGGIGGGGGGGHGIGGGGGGGGGGGGGG"</definedName>
    <definedName name="__Analyzer_SheetOptions" localSheetId="0" hidden="1">"GNGHGGGGGGGGGGGGGGGIGHGGGGGHGIGGGGGGGGGGGGGG"</definedName>
    <definedName name="__Analyzer_SheetOptions" localSheetId="3" hidden="1">"GNGHGGGGGGGGGGGGGGGIGGGGGGGHGIGGGGGGGGGGGGGG"</definedName>
    <definedName name="AnalyzerIsNotAFreeForm" localSheetId="1" hidden="1">"true"</definedName>
    <definedName name="AnalyzerIsNotAFreeForm" localSheetId="2" hidden="1">"true"</definedName>
    <definedName name="AnalyzerIsNotAFreeForm" localSheetId="0" hidden="1">"true"</definedName>
    <definedName name="AnalyzerIsNotAFreeForm" localSheetId="3" hidden="1">TRUE</definedName>
    <definedName name="ELI">SOMMAIRE!$E$7</definedName>
    <definedName name="M">SOMMAIRE!$E$9</definedName>
    <definedName name="P">SOMMAIRE!$E$4</definedName>
    <definedName name="_xlnm.Print_Area" localSheetId="1">BS!$D$1:$BA$32</definedName>
    <definedName name="_xlnm.Print_Area" localSheetId="4">CF!$A$6:$Q$13</definedName>
    <definedName name="_xlnm.Print_Area" localSheetId="2">INVENTORY!$B$1:$AY$51</definedName>
    <definedName name="_xlnm.Print_Area" localSheetId="0">SOMMAIRE!$C$3:$N$55</definedName>
    <definedName name="_xlnm.Print_Area" localSheetId="3">WCR!$C$1:$AZ$61</definedName>
    <definedName name="U">SOMMAIRE!$E$6</definedName>
    <definedName name="VA">SOMMAIRE!$E$5</definedName>
    <definedName name="VE">SOMMAIRE!$E$8</definedName>
  </definedNames>
  <calcPr calcId="145621"/>
</workbook>
</file>

<file path=xl/calcChain.xml><?xml version="1.0" encoding="utf-8"?>
<calcChain xmlns="http://schemas.openxmlformats.org/spreadsheetml/2006/main">
  <c r="AB118" i="14" l="1"/>
  <c r="AA118" i="14"/>
  <c r="Z118" i="14"/>
  <c r="Y118" i="14"/>
  <c r="X118" i="14"/>
  <c r="W118" i="14"/>
  <c r="V118" i="14"/>
  <c r="U118" i="14"/>
  <c r="T118" i="14"/>
  <c r="S118" i="14"/>
  <c r="R118" i="14"/>
  <c r="Q118" i="14"/>
  <c r="AB116" i="14"/>
  <c r="AB119" i="14" s="1"/>
  <c r="AA116" i="14"/>
  <c r="AA119" i="14" s="1"/>
  <c r="Z116" i="14"/>
  <c r="Z119" i="14" s="1"/>
  <c r="Y116" i="14"/>
  <c r="Y119" i="14" s="1"/>
  <c r="X116" i="14"/>
  <c r="X119" i="14" s="1"/>
  <c r="W116" i="14"/>
  <c r="W119" i="14" s="1"/>
  <c r="V116" i="14"/>
  <c r="V119" i="14" s="1"/>
  <c r="U116" i="14"/>
  <c r="U119" i="14" s="1"/>
  <c r="T116" i="14"/>
  <c r="T119" i="14" s="1"/>
  <c r="S116" i="14"/>
  <c r="S119" i="14" s="1"/>
  <c r="S120" i="14" s="1"/>
  <c r="S59" i="14" s="1"/>
  <c r="R116" i="14"/>
  <c r="R119" i="14" s="1"/>
  <c r="R120" i="14" s="1"/>
  <c r="R59" i="14" s="1"/>
  <c r="Q116" i="14"/>
  <c r="Q119" i="14" s="1"/>
  <c r="Q120" i="14" s="1"/>
  <c r="Q59" i="14" s="1"/>
  <c r="AB101" i="14"/>
  <c r="AA101" i="14"/>
  <c r="Z101" i="14"/>
  <c r="Y101" i="14"/>
  <c r="X101" i="14"/>
  <c r="W101" i="14"/>
  <c r="V101" i="14"/>
  <c r="U101" i="14"/>
  <c r="T101" i="14"/>
  <c r="S101" i="14"/>
  <c r="R101" i="14"/>
  <c r="Q101" i="14"/>
  <c r="AB99" i="14"/>
  <c r="AB102" i="14" s="1"/>
  <c r="AA99" i="14"/>
  <c r="AA102" i="14" s="1"/>
  <c r="Z99" i="14"/>
  <c r="Z102" i="14" s="1"/>
  <c r="Y99" i="14"/>
  <c r="Y102" i="14" s="1"/>
  <c r="X99" i="14"/>
  <c r="X102" i="14" s="1"/>
  <c r="W99" i="14"/>
  <c r="W102" i="14" s="1"/>
  <c r="V99" i="14"/>
  <c r="V102" i="14" s="1"/>
  <c r="U99" i="14"/>
  <c r="U102" i="14" s="1"/>
  <c r="T99" i="14"/>
  <c r="T102" i="14" s="1"/>
  <c r="S99" i="14"/>
  <c r="S102" i="14" s="1"/>
  <c r="S103" i="14" s="1"/>
  <c r="S52" i="14" s="1"/>
  <c r="R99" i="14"/>
  <c r="R102" i="14" s="1"/>
  <c r="R103" i="14" s="1"/>
  <c r="R52" i="14" s="1"/>
  <c r="Q99" i="14"/>
  <c r="Q102" i="14" s="1"/>
  <c r="Q103" i="14" s="1"/>
  <c r="Q52" i="14" s="1"/>
  <c r="AB42" i="14"/>
  <c r="AA42" i="14"/>
  <c r="Z42" i="14"/>
  <c r="Y42" i="14"/>
  <c r="X42" i="14"/>
  <c r="W42" i="14"/>
  <c r="V42" i="14"/>
  <c r="U42" i="14"/>
  <c r="T42" i="14"/>
  <c r="S42" i="14"/>
  <c r="R42" i="14"/>
  <c r="Q4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AB16" i="14"/>
  <c r="AB23" i="14" s="1"/>
  <c r="AB28" i="14" s="1"/>
  <c r="AB33" i="14" s="1"/>
  <c r="AB43" i="14" s="1"/>
  <c r="AA16" i="14"/>
  <c r="AA23" i="14" s="1"/>
  <c r="AA28" i="14" s="1"/>
  <c r="AA33" i="14" s="1"/>
  <c r="AA43" i="14" s="1"/>
  <c r="Z16" i="14"/>
  <c r="Y16" i="14"/>
  <c r="Y23" i="14" s="1"/>
  <c r="Y28" i="14" s="1"/>
  <c r="Y33" i="14" s="1"/>
  <c r="Y43" i="14" s="1"/>
  <c r="X16" i="14"/>
  <c r="X23" i="14" s="1"/>
  <c r="X28" i="14" s="1"/>
  <c r="X33" i="14" s="1"/>
  <c r="X43" i="14" s="1"/>
  <c r="W16" i="14"/>
  <c r="W23" i="14" s="1"/>
  <c r="W28" i="14" s="1"/>
  <c r="W33" i="14" s="1"/>
  <c r="W43" i="14" s="1"/>
  <c r="V16" i="14"/>
  <c r="V23" i="14" s="1"/>
  <c r="V28" i="14" s="1"/>
  <c r="V33" i="14" s="1"/>
  <c r="V43" i="14" s="1"/>
  <c r="U16" i="14"/>
  <c r="U23" i="14" s="1"/>
  <c r="U28" i="14" s="1"/>
  <c r="U33" i="14" s="1"/>
  <c r="U43" i="14" s="1"/>
  <c r="T16" i="14"/>
  <c r="T23" i="14" s="1"/>
  <c r="T28" i="14" s="1"/>
  <c r="T33" i="14" s="1"/>
  <c r="T43" i="14" s="1"/>
  <c r="S16" i="14"/>
  <c r="S23" i="14" s="1"/>
  <c r="S28" i="14" s="1"/>
  <c r="S33" i="14" s="1"/>
  <c r="S43" i="14" s="1"/>
  <c r="R16" i="14"/>
  <c r="R23" i="14" s="1"/>
  <c r="R28" i="14" s="1"/>
  <c r="R33" i="14" s="1"/>
  <c r="R43" i="14" s="1"/>
  <c r="Q16" i="14"/>
  <c r="Q23" i="14" s="1"/>
  <c r="Q28" i="14" s="1"/>
  <c r="Q33" i="14" s="1"/>
  <c r="Q43" i="14" s="1"/>
  <c r="Z119" i="12"/>
  <c r="Y119" i="12"/>
  <c r="X119" i="12"/>
  <c r="W119" i="12"/>
  <c r="V119" i="12"/>
  <c r="U119" i="12"/>
  <c r="T119" i="12"/>
  <c r="S119" i="12"/>
  <c r="R119" i="12"/>
  <c r="Q119" i="12"/>
  <c r="Q120" i="12" s="1"/>
  <c r="Q34" i="12" s="1"/>
  <c r="P119" i="12"/>
  <c r="P120" i="12" s="1"/>
  <c r="P34" i="12" s="1"/>
  <c r="O119" i="12"/>
  <c r="O120" i="12" s="1"/>
  <c r="O34" i="12" s="1"/>
  <c r="Z110" i="12"/>
  <c r="Y110" i="12"/>
  <c r="X110" i="12"/>
  <c r="W110" i="12"/>
  <c r="V110" i="12"/>
  <c r="U110" i="12"/>
  <c r="T110" i="12"/>
  <c r="S110" i="12"/>
  <c r="R110" i="12"/>
  <c r="Q110" i="12"/>
  <c r="Q111" i="12" s="1"/>
  <c r="Q33" i="12" s="1"/>
  <c r="P110" i="12"/>
  <c r="P111" i="12" s="1"/>
  <c r="P33" i="12" s="1"/>
  <c r="O110" i="12"/>
  <c r="O111" i="12" s="1"/>
  <c r="O33" i="12" s="1"/>
  <c r="Z102" i="12"/>
  <c r="Y102" i="12"/>
  <c r="X102" i="12"/>
  <c r="W102" i="12"/>
  <c r="V102" i="12"/>
  <c r="U102" i="12"/>
  <c r="T102" i="12"/>
  <c r="S102" i="12"/>
  <c r="R102" i="12"/>
  <c r="Q102" i="12"/>
  <c r="P102" i="12"/>
  <c r="O102" i="12"/>
  <c r="Z100" i="12"/>
  <c r="Z103" i="12" s="1"/>
  <c r="Y100" i="12"/>
  <c r="Y103" i="12" s="1"/>
  <c r="X100" i="12"/>
  <c r="X103" i="12" s="1"/>
  <c r="W100" i="12"/>
  <c r="W103" i="12" s="1"/>
  <c r="V100" i="12"/>
  <c r="V103" i="12" s="1"/>
  <c r="U100" i="12"/>
  <c r="U103" i="12" s="1"/>
  <c r="T100" i="12"/>
  <c r="T103" i="12" s="1"/>
  <c r="S100" i="12"/>
  <c r="S103" i="12" s="1"/>
  <c r="R100" i="12"/>
  <c r="R103" i="12" s="1"/>
  <c r="Q100" i="12"/>
  <c r="Q103" i="12" s="1"/>
  <c r="Q104" i="12" s="1"/>
  <c r="Q49" i="12" s="1"/>
  <c r="P100" i="12"/>
  <c r="P103" i="12" s="1"/>
  <c r="P104" i="12" s="1"/>
  <c r="P49" i="12" s="1"/>
  <c r="O100" i="12"/>
  <c r="O101" i="12" s="1"/>
  <c r="Z22" i="12"/>
  <c r="Y22" i="12"/>
  <c r="X22" i="12"/>
  <c r="W22" i="12"/>
  <c r="V22" i="12"/>
  <c r="U22" i="12"/>
  <c r="T22" i="12"/>
  <c r="S22" i="12"/>
  <c r="R22" i="12"/>
  <c r="Q22" i="12"/>
  <c r="P22" i="12"/>
  <c r="O22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Z17" i="12"/>
  <c r="Y17" i="12"/>
  <c r="X17" i="12"/>
  <c r="X21" i="12" s="1"/>
  <c r="X23" i="12" s="1"/>
  <c r="W17" i="12"/>
  <c r="W21" i="12" s="1"/>
  <c r="W23" i="12" s="1"/>
  <c r="V17" i="12"/>
  <c r="V21" i="12" s="1"/>
  <c r="U17" i="12"/>
  <c r="U21" i="12" s="1"/>
  <c r="U23" i="12" s="1"/>
  <c r="T17" i="12"/>
  <c r="T21" i="12" s="1"/>
  <c r="T23" i="12" s="1"/>
  <c r="S17" i="12"/>
  <c r="S21" i="12" s="1"/>
  <c r="S23" i="12" s="1"/>
  <c r="R17" i="12"/>
  <c r="R21" i="12" s="1"/>
  <c r="R23" i="12" s="1"/>
  <c r="Q17" i="12"/>
  <c r="Q21" i="12" s="1"/>
  <c r="Q23" i="12" s="1"/>
  <c r="P17" i="12"/>
  <c r="P21" i="12" s="1"/>
  <c r="P23" i="12" s="1"/>
  <c r="O17" i="12"/>
  <c r="O21" i="12" s="1"/>
  <c r="O23" i="12" s="1"/>
  <c r="AB101" i="13"/>
  <c r="AB20" i="13" s="1"/>
  <c r="AA101" i="13"/>
  <c r="AA20" i="13" s="1"/>
  <c r="Z101" i="13"/>
  <c r="Z20" i="13" s="1"/>
  <c r="Y101" i="13"/>
  <c r="X101" i="13"/>
  <c r="X20" i="13" s="1"/>
  <c r="W101" i="13"/>
  <c r="W20" i="13" s="1"/>
  <c r="V101" i="13"/>
  <c r="U101" i="13"/>
  <c r="U20" i="13" s="1"/>
  <c r="T101" i="13"/>
  <c r="S101" i="13"/>
  <c r="S20" i="13" s="1"/>
  <c r="R101" i="13"/>
  <c r="Q101" i="13"/>
  <c r="AB97" i="13"/>
  <c r="AB19" i="13" s="1"/>
  <c r="AA97" i="13"/>
  <c r="AA19" i="13" s="1"/>
  <c r="Z97" i="13"/>
  <c r="Z19" i="13" s="1"/>
  <c r="Y97" i="13"/>
  <c r="X97" i="13"/>
  <c r="W97" i="13"/>
  <c r="W19" i="13" s="1"/>
  <c r="V97" i="13"/>
  <c r="V19" i="13" s="1"/>
  <c r="U97" i="13"/>
  <c r="T97" i="13"/>
  <c r="T19" i="13" s="1"/>
  <c r="S97" i="13"/>
  <c r="S19" i="13" s="1"/>
  <c r="R97" i="13"/>
  <c r="Q97" i="13"/>
  <c r="Q19" i="13" s="1"/>
  <c r="AB90" i="13"/>
  <c r="AA90" i="13"/>
  <c r="Z90" i="13"/>
  <c r="Y90" i="13"/>
  <c r="X90" i="13"/>
  <c r="W90" i="13"/>
  <c r="V90" i="13"/>
  <c r="U90" i="13"/>
  <c r="T90" i="13"/>
  <c r="S90" i="13"/>
  <c r="R90" i="13"/>
  <c r="Q90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AB74" i="13"/>
  <c r="AA74" i="13"/>
  <c r="Z74" i="13"/>
  <c r="Y74" i="13"/>
  <c r="X74" i="13"/>
  <c r="X27" i="13" s="1"/>
  <c r="W74" i="13"/>
  <c r="V74" i="13"/>
  <c r="U74" i="13"/>
  <c r="T74" i="13"/>
  <c r="T27" i="13" s="1"/>
  <c r="S74" i="13"/>
  <c r="R74" i="13"/>
  <c r="Q74" i="13"/>
  <c r="AB63" i="13"/>
  <c r="AB26" i="13" s="1"/>
  <c r="AA63" i="13"/>
  <c r="Z63" i="13"/>
  <c r="Y63" i="13"/>
  <c r="X63" i="13"/>
  <c r="X26" i="13" s="1"/>
  <c r="W63" i="13"/>
  <c r="V63" i="13"/>
  <c r="U63" i="13"/>
  <c r="T63" i="13"/>
  <c r="T26" i="13" s="1"/>
  <c r="S63" i="13"/>
  <c r="R63" i="13"/>
  <c r="Q63" i="13"/>
  <c r="AB53" i="13"/>
  <c r="AB57" i="13" s="1"/>
  <c r="AB25" i="13" s="1"/>
  <c r="AA53" i="13"/>
  <c r="AA57" i="13" s="1"/>
  <c r="AA25" i="13" s="1"/>
  <c r="Z53" i="13"/>
  <c r="Z57" i="13" s="1"/>
  <c r="Z25" i="13" s="1"/>
  <c r="Y53" i="13"/>
  <c r="Y57" i="13" s="1"/>
  <c r="Y25" i="13" s="1"/>
  <c r="X53" i="13"/>
  <c r="X57" i="13" s="1"/>
  <c r="X25" i="13" s="1"/>
  <c r="W53" i="13"/>
  <c r="W57" i="13" s="1"/>
  <c r="W25" i="13" s="1"/>
  <c r="V53" i="13"/>
  <c r="V57" i="13" s="1"/>
  <c r="V25" i="13" s="1"/>
  <c r="U53" i="13"/>
  <c r="U57" i="13" s="1"/>
  <c r="U25" i="13" s="1"/>
  <c r="T53" i="13"/>
  <c r="T57" i="13" s="1"/>
  <c r="T25" i="13" s="1"/>
  <c r="S53" i="13"/>
  <c r="S57" i="13" s="1"/>
  <c r="S25" i="13" s="1"/>
  <c r="R53" i="13"/>
  <c r="R57" i="13" s="1"/>
  <c r="R25" i="13" s="1"/>
  <c r="Q53" i="13"/>
  <c r="Q57" i="13" s="1"/>
  <c r="Q25" i="13" s="1"/>
  <c r="AB48" i="13"/>
  <c r="AB23" i="13" s="1"/>
  <c r="AA48" i="13"/>
  <c r="AA23" i="13" s="1"/>
  <c r="Z48" i="13"/>
  <c r="Z23" i="13" s="1"/>
  <c r="Y48" i="13"/>
  <c r="X48" i="13"/>
  <c r="X23" i="13" s="1"/>
  <c r="W48" i="13"/>
  <c r="W23" i="13" s="1"/>
  <c r="V48" i="13"/>
  <c r="V23" i="13" s="1"/>
  <c r="U48" i="13"/>
  <c r="U23" i="13" s="1"/>
  <c r="T48" i="13"/>
  <c r="S48" i="13"/>
  <c r="S23" i="13" s="1"/>
  <c r="R48" i="13"/>
  <c r="R23" i="13" s="1"/>
  <c r="Q48" i="13"/>
  <c r="Q23" i="13" s="1"/>
  <c r="AB42" i="13"/>
  <c r="AB18" i="13" s="1"/>
  <c r="AA42" i="13"/>
  <c r="AA18" i="13" s="1"/>
  <c r="Z42" i="13"/>
  <c r="Z18" i="13" s="1"/>
  <c r="Y42" i="13"/>
  <c r="Y18" i="13" s="1"/>
  <c r="X42" i="13"/>
  <c r="X18" i="13" s="1"/>
  <c r="W42" i="13"/>
  <c r="W18" i="13" s="1"/>
  <c r="V42" i="13"/>
  <c r="V18" i="13" s="1"/>
  <c r="U42" i="13"/>
  <c r="T42" i="13"/>
  <c r="T18" i="13" s="1"/>
  <c r="S42" i="13"/>
  <c r="S18" i="13" s="1"/>
  <c r="R42" i="13"/>
  <c r="R18" i="13" s="1"/>
  <c r="Q42" i="13"/>
  <c r="Q18" i="13" s="1"/>
  <c r="AB36" i="13"/>
  <c r="AB17" i="13" s="1"/>
  <c r="AA36" i="13"/>
  <c r="AA17" i="13" s="1"/>
  <c r="Z36" i="13"/>
  <c r="Z17" i="13" s="1"/>
  <c r="Y36" i="13"/>
  <c r="Y17" i="13" s="1"/>
  <c r="X36" i="13"/>
  <c r="W36" i="13"/>
  <c r="W17" i="13" s="1"/>
  <c r="V36" i="13"/>
  <c r="V17" i="13" s="1"/>
  <c r="U36" i="13"/>
  <c r="U17" i="13" s="1"/>
  <c r="T36" i="13"/>
  <c r="T17" i="13" s="1"/>
  <c r="S36" i="13"/>
  <c r="S17" i="13" s="1"/>
  <c r="R36" i="13"/>
  <c r="R17" i="13" s="1"/>
  <c r="Q36" i="13"/>
  <c r="Q17" i="13" s="1"/>
  <c r="AB31" i="13"/>
  <c r="AA31" i="13"/>
  <c r="Z31" i="13"/>
  <c r="Y31" i="13"/>
  <c r="X31" i="13"/>
  <c r="W31" i="13"/>
  <c r="V31" i="13"/>
  <c r="U31" i="13"/>
  <c r="T31" i="13"/>
  <c r="S31" i="13"/>
  <c r="R31" i="13"/>
  <c r="Q31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AB27" i="13"/>
  <c r="AA27" i="13"/>
  <c r="Z27" i="13"/>
  <c r="Y27" i="13"/>
  <c r="W27" i="13"/>
  <c r="V27" i="13"/>
  <c r="U27" i="13"/>
  <c r="S27" i="13"/>
  <c r="R27" i="13"/>
  <c r="Q27" i="13"/>
  <c r="AA26" i="13"/>
  <c r="Z26" i="13"/>
  <c r="Y26" i="13"/>
  <c r="W26" i="13"/>
  <c r="V26" i="13"/>
  <c r="U26" i="13"/>
  <c r="S26" i="13"/>
  <c r="R26" i="13"/>
  <c r="Q26" i="13"/>
  <c r="AA24" i="13"/>
  <c r="AA30" i="13" s="1"/>
  <c r="Z24" i="13"/>
  <c r="Z30" i="13" s="1"/>
  <c r="Y24" i="13"/>
  <c r="W24" i="13"/>
  <c r="W30" i="13" s="1"/>
  <c r="V24" i="13"/>
  <c r="V30" i="13" s="1"/>
  <c r="U24" i="13"/>
  <c r="S24" i="13"/>
  <c r="R24" i="13"/>
  <c r="R30" i="13" s="1"/>
  <c r="Y23" i="13"/>
  <c r="T23" i="13"/>
  <c r="Y20" i="13"/>
  <c r="V20" i="13"/>
  <c r="T20" i="13"/>
  <c r="R20" i="13"/>
  <c r="Q20" i="13"/>
  <c r="Y19" i="13"/>
  <c r="X19" i="13"/>
  <c r="U19" i="13"/>
  <c r="R19" i="13"/>
  <c r="U18" i="13"/>
  <c r="X17" i="13"/>
  <c r="E13" i="14"/>
  <c r="D75" i="14"/>
  <c r="C123" i="14"/>
  <c r="C98" i="14"/>
  <c r="C77" i="14"/>
  <c r="C89" i="14"/>
  <c r="B83" i="14"/>
  <c r="A1" i="14"/>
  <c r="D88" i="14"/>
  <c r="C74" i="14"/>
  <c r="C86" i="14"/>
  <c r="C94" i="14"/>
  <c r="B74" i="14"/>
  <c r="AU13" i="14"/>
  <c r="D123" i="14"/>
  <c r="D73" i="14"/>
  <c r="D85" i="14"/>
  <c r="C106" i="14"/>
  <c r="C83" i="14"/>
  <c r="C91" i="14"/>
  <c r="B85" i="14"/>
  <c r="D72" i="14"/>
  <c r="G13" i="14"/>
  <c r="K13" i="14"/>
  <c r="O13" i="14"/>
  <c r="S13" i="14"/>
  <c r="W13" i="14"/>
  <c r="AA13" i="14"/>
  <c r="AE13" i="14"/>
  <c r="AI13" i="14"/>
  <c r="AM13" i="14"/>
  <c r="AQ13" i="14"/>
  <c r="AO12" i="14"/>
  <c r="D81" i="14"/>
  <c r="C71" i="14"/>
  <c r="B77" i="14"/>
  <c r="A6" i="14"/>
  <c r="H13" i="14"/>
  <c r="L13" i="14"/>
  <c r="P13" i="14"/>
  <c r="T13" i="14"/>
  <c r="X13" i="14"/>
  <c r="AB13" i="14"/>
  <c r="AF13" i="14"/>
  <c r="AJ13" i="14"/>
  <c r="AN13" i="14"/>
  <c r="AR13" i="14"/>
  <c r="AV13" i="14"/>
  <c r="AZ13" i="14"/>
  <c r="AC12" i="14"/>
  <c r="D110" i="14"/>
  <c r="D70" i="14"/>
  <c r="D74" i="14"/>
  <c r="D78" i="14"/>
  <c r="D82" i="14"/>
  <c r="D86" i="14"/>
  <c r="D90" i="14"/>
  <c r="D94" i="14"/>
  <c r="C107" i="14"/>
  <c r="C72" i="14"/>
  <c r="C76" i="14"/>
  <c r="C80" i="14"/>
  <c r="C84" i="14"/>
  <c r="C88" i="14"/>
  <c r="C92" i="14"/>
  <c r="B78" i="14"/>
  <c r="B82" i="14"/>
  <c r="B72" i="14"/>
  <c r="A5" i="14"/>
  <c r="A2" i="14"/>
  <c r="I13" i="14"/>
  <c r="M13" i="14"/>
  <c r="Q13" i="14"/>
  <c r="U13" i="14"/>
  <c r="Y13" i="14"/>
  <c r="AC13" i="14"/>
  <c r="AG13" i="14"/>
  <c r="AK13" i="14"/>
  <c r="AO13" i="14"/>
  <c r="AS13" i="14"/>
  <c r="AW13" i="14"/>
  <c r="BA13" i="14"/>
  <c r="Q12" i="14"/>
  <c r="D106" i="14"/>
  <c r="D71" i="14"/>
  <c r="D79" i="14"/>
  <c r="D83" i="14"/>
  <c r="D87" i="14"/>
  <c r="D91" i="14"/>
  <c r="C73" i="14"/>
  <c r="C81" i="14"/>
  <c r="C85" i="14"/>
  <c r="C93" i="14"/>
  <c r="B79" i="14"/>
  <c r="B73" i="14"/>
  <c r="A4" i="14"/>
  <c r="F13" i="14"/>
  <c r="J13" i="14"/>
  <c r="N13" i="14"/>
  <c r="R13" i="14"/>
  <c r="V13" i="14"/>
  <c r="Z13" i="14"/>
  <c r="AD13" i="14"/>
  <c r="AH13" i="14"/>
  <c r="AL13" i="14"/>
  <c r="AP13" i="14"/>
  <c r="AT13" i="14"/>
  <c r="AX13" i="14"/>
  <c r="BA12" i="14"/>
  <c r="E12" i="14"/>
  <c r="D107" i="14"/>
  <c r="D76" i="14"/>
  <c r="D80" i="14"/>
  <c r="D84" i="14"/>
  <c r="D92" i="14"/>
  <c r="C110" i="14"/>
  <c r="C70" i="14"/>
  <c r="C78" i="14"/>
  <c r="C82" i="14"/>
  <c r="C90" i="14"/>
  <c r="B80" i="14"/>
  <c r="B84" i="14"/>
  <c r="A3" i="14"/>
  <c r="AY13" i="14"/>
  <c r="D98" i="14"/>
  <c r="D77" i="14"/>
  <c r="D89" i="14"/>
  <c r="D93" i="14"/>
  <c r="C75" i="14"/>
  <c r="C79" i="14"/>
  <c r="C87" i="14"/>
  <c r="B81" i="14"/>
  <c r="B70" i="14"/>
  <c r="D14" i="12"/>
  <c r="H14" i="12"/>
  <c r="L14" i="12"/>
  <c r="P14" i="12"/>
  <c r="T14" i="12"/>
  <c r="X14" i="12"/>
  <c r="AB14" i="12"/>
  <c r="AF14" i="12"/>
  <c r="AJ14" i="12"/>
  <c r="AN14" i="12"/>
  <c r="AR14" i="12"/>
  <c r="AV14" i="12"/>
  <c r="AY13" i="12"/>
  <c r="C13" i="12"/>
  <c r="B118" i="12"/>
  <c r="B99" i="12"/>
  <c r="B82" i="12"/>
  <c r="B86" i="12"/>
  <c r="B90" i="12"/>
  <c r="B94" i="12"/>
  <c r="A107" i="12"/>
  <c r="A79" i="12"/>
  <c r="A83" i="12"/>
  <c r="A87" i="12"/>
  <c r="A91" i="12"/>
  <c r="A95" i="12"/>
  <c r="A3" i="12"/>
  <c r="E14" i="12"/>
  <c r="I14" i="12"/>
  <c r="M14" i="12"/>
  <c r="Q14" i="12"/>
  <c r="U14" i="12"/>
  <c r="Y14" i="12"/>
  <c r="AC14" i="12"/>
  <c r="AG14" i="12"/>
  <c r="AK14" i="12"/>
  <c r="AO14" i="12"/>
  <c r="AS14" i="12"/>
  <c r="AW14" i="12"/>
  <c r="AM13" i="12"/>
  <c r="B115" i="12"/>
  <c r="B107" i="12"/>
  <c r="B79" i="12"/>
  <c r="B83" i="12"/>
  <c r="B87" i="12"/>
  <c r="B91" i="12"/>
  <c r="B95" i="12"/>
  <c r="A108" i="12"/>
  <c r="A80" i="12"/>
  <c r="A84" i="12"/>
  <c r="A88" i="12"/>
  <c r="A92" i="12"/>
  <c r="A96" i="12"/>
  <c r="A6" i="12"/>
  <c r="F14" i="12"/>
  <c r="J14" i="12"/>
  <c r="N14" i="12"/>
  <c r="R14" i="12"/>
  <c r="V14" i="12"/>
  <c r="Z14" i="12"/>
  <c r="AD14" i="12"/>
  <c r="AH14" i="12"/>
  <c r="AL14" i="12"/>
  <c r="AP14" i="12"/>
  <c r="AT14" i="12"/>
  <c r="AX14" i="12"/>
  <c r="AA13" i="12"/>
  <c r="B116" i="12"/>
  <c r="B108" i="12"/>
  <c r="B80" i="12"/>
  <c r="B84" i="12"/>
  <c r="B88" i="12"/>
  <c r="B92" i="12"/>
  <c r="B96" i="12"/>
  <c r="A109" i="12"/>
  <c r="A81" i="12"/>
  <c r="A85" i="12"/>
  <c r="A89" i="12"/>
  <c r="A93" i="12"/>
  <c r="A5" i="12"/>
  <c r="A2" i="12"/>
  <c r="C14" i="12"/>
  <c r="G14" i="12"/>
  <c r="K14" i="12"/>
  <c r="O14" i="12"/>
  <c r="S14" i="12"/>
  <c r="W14" i="12"/>
  <c r="AA14" i="12"/>
  <c r="AE14" i="12"/>
  <c r="AI14" i="12"/>
  <c r="AM14" i="12"/>
  <c r="AQ14" i="12"/>
  <c r="AU14" i="12"/>
  <c r="AY14" i="12"/>
  <c r="O13" i="12"/>
  <c r="B117" i="12"/>
  <c r="B109" i="12"/>
  <c r="B81" i="12"/>
  <c r="B85" i="12"/>
  <c r="B89" i="12"/>
  <c r="B93" i="12"/>
  <c r="A115" i="12"/>
  <c r="A99" i="12"/>
  <c r="A82" i="12"/>
  <c r="A86" i="12"/>
  <c r="A90" i="12"/>
  <c r="A94" i="12"/>
  <c r="A4" i="12"/>
  <c r="A1" i="12"/>
  <c r="E12" i="13"/>
  <c r="I12" i="13"/>
  <c r="M12" i="13"/>
  <c r="Q12" i="13"/>
  <c r="U12" i="13"/>
  <c r="Y12" i="13"/>
  <c r="AC12" i="13"/>
  <c r="AG12" i="13"/>
  <c r="AK12" i="13"/>
  <c r="AO12" i="13"/>
  <c r="AS12" i="13"/>
  <c r="AW12" i="13"/>
  <c r="BA12" i="13"/>
  <c r="Q11" i="13"/>
  <c r="D94" i="13"/>
  <c r="D89" i="13"/>
  <c r="D66" i="13"/>
  <c r="D70" i="13"/>
  <c r="D60" i="13"/>
  <c r="D52" i="13"/>
  <c r="D40" i="13"/>
  <c r="C100" i="13"/>
  <c r="C88" i="13"/>
  <c r="C78" i="13"/>
  <c r="C69" i="13"/>
  <c r="C73" i="13"/>
  <c r="C52" i="13"/>
  <c r="C40" i="13"/>
  <c r="A4" i="13"/>
  <c r="D67" i="13"/>
  <c r="D41" i="13"/>
  <c r="C66" i="13"/>
  <c r="C46" i="13"/>
  <c r="F12" i="13"/>
  <c r="J12" i="13"/>
  <c r="N12" i="13"/>
  <c r="R12" i="13"/>
  <c r="V12" i="13"/>
  <c r="Z12" i="13"/>
  <c r="AD12" i="13"/>
  <c r="AH12" i="13"/>
  <c r="AL12" i="13"/>
  <c r="AP12" i="13"/>
  <c r="AT12" i="13"/>
  <c r="AX12" i="13"/>
  <c r="BA11" i="13"/>
  <c r="E11" i="13"/>
  <c r="D61" i="13"/>
  <c r="C60" i="13"/>
  <c r="G12" i="13"/>
  <c r="K12" i="13"/>
  <c r="O12" i="13"/>
  <c r="S12" i="13"/>
  <c r="W12" i="13"/>
  <c r="AA12" i="13"/>
  <c r="AE12" i="13"/>
  <c r="AI12" i="13"/>
  <c r="AM12" i="13"/>
  <c r="AQ12" i="13"/>
  <c r="AU12" i="13"/>
  <c r="AY12" i="13"/>
  <c r="AO11" i="13"/>
  <c r="D99" i="13"/>
  <c r="D96" i="13"/>
  <c r="D77" i="13"/>
  <c r="D68" i="13"/>
  <c r="D72" i="13"/>
  <c r="D62" i="13"/>
  <c r="D47" i="13"/>
  <c r="D35" i="13"/>
  <c r="C95" i="13"/>
  <c r="C83" i="13"/>
  <c r="C67" i="13"/>
  <c r="C71" i="13"/>
  <c r="C61" i="13"/>
  <c r="C47" i="13"/>
  <c r="C35" i="13"/>
  <c r="A1" i="13"/>
  <c r="AF12" i="13"/>
  <c r="AR12" i="13"/>
  <c r="AZ12" i="13"/>
  <c r="D100" i="13"/>
  <c r="D88" i="13"/>
  <c r="D69" i="13"/>
  <c r="D73" i="13"/>
  <c r="D56" i="13"/>
  <c r="D39" i="13"/>
  <c r="C99" i="13"/>
  <c r="C96" i="13"/>
  <c r="C68" i="13"/>
  <c r="C72" i="13"/>
  <c r="C62" i="13"/>
  <c r="C39" i="13"/>
  <c r="A5" i="13"/>
  <c r="A6" i="13"/>
  <c r="A2" i="13"/>
  <c r="D95" i="13"/>
  <c r="D83" i="13"/>
  <c r="D71" i="13"/>
  <c r="D46" i="13"/>
  <c r="C89" i="13"/>
  <c r="C70" i="13"/>
  <c r="A3" i="13"/>
  <c r="H12" i="13"/>
  <c r="L12" i="13"/>
  <c r="P12" i="13"/>
  <c r="T12" i="13"/>
  <c r="X12" i="13"/>
  <c r="AB12" i="13"/>
  <c r="AJ12" i="13"/>
  <c r="AN12" i="13"/>
  <c r="AV12" i="13"/>
  <c r="AC11" i="13"/>
  <c r="D78" i="13"/>
  <c r="C77" i="13"/>
  <c r="C94" i="13"/>
  <c r="C41" i="13"/>
  <c r="E8" i="4"/>
  <c r="E5" i="4"/>
  <c r="E7" i="4"/>
  <c r="E4" i="4"/>
  <c r="H13" i="4"/>
  <c r="E6" i="4"/>
  <c r="G14" i="4"/>
  <c r="E9" i="4"/>
  <c r="Z23" i="14" l="1"/>
  <c r="Z28" i="14" s="1"/>
  <c r="Z33" i="14" s="1"/>
  <c r="Z43" i="14" s="1"/>
  <c r="T24" i="13"/>
  <c r="T30" i="13" s="1"/>
  <c r="X24" i="13"/>
  <c r="AB24" i="13"/>
  <c r="AB30" i="13" s="1"/>
  <c r="S30" i="13"/>
  <c r="U30" i="13"/>
  <c r="Y30" i="13"/>
  <c r="X30" i="13"/>
  <c r="X21" i="13"/>
  <c r="U21" i="13"/>
  <c r="U32" i="13" s="1"/>
  <c r="W103" i="14"/>
  <c r="W52" i="14" s="1"/>
  <c r="W50" i="14" s="1"/>
  <c r="AA103" i="14"/>
  <c r="AA52" i="14" s="1"/>
  <c r="W120" i="14"/>
  <c r="W59" i="14" s="1"/>
  <c r="W58" i="14" s="1"/>
  <c r="AA120" i="14"/>
  <c r="AA59" i="14" s="1"/>
  <c r="S104" i="12"/>
  <c r="S49" i="12" s="1"/>
  <c r="S45" i="12" s="1"/>
  <c r="W104" i="12"/>
  <c r="W49" i="12" s="1"/>
  <c r="W45" i="12" s="1"/>
  <c r="S111" i="12"/>
  <c r="S33" i="12" s="1"/>
  <c r="S28" i="12" s="1"/>
  <c r="W111" i="12"/>
  <c r="W33" i="12" s="1"/>
  <c r="S120" i="12"/>
  <c r="S34" i="12" s="1"/>
  <c r="W120" i="12"/>
  <c r="W34" i="12" s="1"/>
  <c r="Y21" i="12"/>
  <c r="Y23" i="12" s="1"/>
  <c r="Q21" i="13"/>
  <c r="R21" i="13"/>
  <c r="R32" i="13" s="1"/>
  <c r="V21" i="13"/>
  <c r="V32" i="13" s="1"/>
  <c r="Z21" i="13"/>
  <c r="Z32" i="13" s="1"/>
  <c r="S21" i="13"/>
  <c r="S32" i="13" s="1"/>
  <c r="W21" i="13"/>
  <c r="W32" i="13" s="1"/>
  <c r="AA21" i="13"/>
  <c r="AA32" i="13" s="1"/>
  <c r="Y21" i="13"/>
  <c r="Y32" i="13" s="1"/>
  <c r="T21" i="13"/>
  <c r="T32" i="13" s="1"/>
  <c r="AB21" i="13"/>
  <c r="Z21" i="12"/>
  <c r="Z23" i="12" s="1"/>
  <c r="R111" i="12"/>
  <c r="R33" i="12" s="1"/>
  <c r="R28" i="12" s="1"/>
  <c r="V111" i="12"/>
  <c r="V33" i="12" s="1"/>
  <c r="V28" i="12" s="1"/>
  <c r="Z111" i="12"/>
  <c r="Z33" i="12" s="1"/>
  <c r="Z28" i="12" s="1"/>
  <c r="R120" i="12"/>
  <c r="R34" i="12" s="1"/>
  <c r="V120" i="12"/>
  <c r="V34" i="12" s="1"/>
  <c r="V35" i="12" s="1"/>
  <c r="Z120" i="12"/>
  <c r="Z34" i="12" s="1"/>
  <c r="Q58" i="14"/>
  <c r="V103" i="14"/>
  <c r="V52" i="14" s="1"/>
  <c r="Z103" i="14"/>
  <c r="Z52" i="14" s="1"/>
  <c r="R58" i="14"/>
  <c r="V120" i="14"/>
  <c r="V59" i="14" s="1"/>
  <c r="V58" i="14" s="1"/>
  <c r="Z120" i="14"/>
  <c r="Z59" i="14" s="1"/>
  <c r="Z58" i="14" s="1"/>
  <c r="S58" i="14"/>
  <c r="AA58" i="14"/>
  <c r="V23" i="12"/>
  <c r="T111" i="12"/>
  <c r="T33" i="12" s="1"/>
  <c r="X111" i="12"/>
  <c r="X33" i="12" s="1"/>
  <c r="X35" i="12" s="1"/>
  <c r="T120" i="12"/>
  <c r="T34" i="12" s="1"/>
  <c r="X120" i="12"/>
  <c r="X34" i="12" s="1"/>
  <c r="Q28" i="12"/>
  <c r="U104" i="12"/>
  <c r="U49" i="12" s="1"/>
  <c r="U48" i="12" s="1"/>
  <c r="Y104" i="12"/>
  <c r="Y49" i="12" s="1"/>
  <c r="Y47" i="12" s="1"/>
  <c r="U111" i="12"/>
  <c r="U33" i="12" s="1"/>
  <c r="U28" i="12" s="1"/>
  <c r="Y111" i="12"/>
  <c r="Y33" i="12" s="1"/>
  <c r="Y28" i="12" s="1"/>
  <c r="U120" i="12"/>
  <c r="U34" i="12" s="1"/>
  <c r="Y120" i="12"/>
  <c r="Y34" i="12" s="1"/>
  <c r="AB56" i="14"/>
  <c r="X56" i="14"/>
  <c r="T56" i="14"/>
  <c r="AB46" i="14"/>
  <c r="X46" i="14"/>
  <c r="T46" i="14"/>
  <c r="AB14" i="14"/>
  <c r="X14" i="14"/>
  <c r="T14" i="14"/>
  <c r="Q56" i="14"/>
  <c r="Q14" i="14"/>
  <c r="AA56" i="14"/>
  <c r="W56" i="14"/>
  <c r="S56" i="14"/>
  <c r="AA46" i="14"/>
  <c r="W46" i="14"/>
  <c r="S46" i="14"/>
  <c r="AA14" i="14"/>
  <c r="W14" i="14"/>
  <c r="S14" i="14"/>
  <c r="Z14" i="14"/>
  <c r="R14" i="14"/>
  <c r="Y56" i="14"/>
  <c r="Q46" i="14"/>
  <c r="Y14" i="14"/>
  <c r="Z56" i="14"/>
  <c r="V56" i="14"/>
  <c r="R56" i="14"/>
  <c r="Z46" i="14"/>
  <c r="V46" i="14"/>
  <c r="R46" i="14"/>
  <c r="V14" i="14"/>
  <c r="U56" i="14"/>
  <c r="Y46" i="14"/>
  <c r="U46" i="14"/>
  <c r="U14" i="14"/>
  <c r="Q51" i="14"/>
  <c r="Q50" i="14"/>
  <c r="Q49" i="14"/>
  <c r="Q48" i="14"/>
  <c r="U103" i="14"/>
  <c r="U52" i="14" s="1"/>
  <c r="Y103" i="14"/>
  <c r="Y52" i="14" s="1"/>
  <c r="U120" i="14"/>
  <c r="U59" i="14" s="1"/>
  <c r="U58" i="14" s="1"/>
  <c r="Y120" i="14"/>
  <c r="Y59" i="14" s="1"/>
  <c r="Y58" i="14" s="1"/>
  <c r="Z51" i="14"/>
  <c r="Z50" i="14"/>
  <c r="Z49" i="14"/>
  <c r="Z48" i="14"/>
  <c r="R51" i="14"/>
  <c r="R50" i="14"/>
  <c r="R49" i="14"/>
  <c r="R48" i="14"/>
  <c r="S51" i="14"/>
  <c r="S50" i="14"/>
  <c r="S49" i="14"/>
  <c r="S48" i="14"/>
  <c r="V51" i="14"/>
  <c r="V50" i="14"/>
  <c r="V49" i="14"/>
  <c r="V48" i="14"/>
  <c r="W48" i="14"/>
  <c r="AA51" i="14"/>
  <c r="AA50" i="14"/>
  <c r="AA49" i="14"/>
  <c r="AA48" i="14"/>
  <c r="T103" i="14"/>
  <c r="T52" i="14" s="1"/>
  <c r="X103" i="14"/>
  <c r="X52" i="14" s="1"/>
  <c r="AB103" i="14"/>
  <c r="AB52" i="14" s="1"/>
  <c r="T120" i="14"/>
  <c r="T59" i="14" s="1"/>
  <c r="T58" i="14" s="1"/>
  <c r="X120" i="14"/>
  <c r="X59" i="14" s="1"/>
  <c r="X58" i="14" s="1"/>
  <c r="AB120" i="14"/>
  <c r="AB59" i="14" s="1"/>
  <c r="AB58" i="14" s="1"/>
  <c r="Q100" i="14"/>
  <c r="U100" i="14"/>
  <c r="Y100" i="14"/>
  <c r="Q117" i="14"/>
  <c r="U117" i="14"/>
  <c r="Y117" i="14"/>
  <c r="R100" i="14"/>
  <c r="V100" i="14"/>
  <c r="Z100" i="14"/>
  <c r="R117" i="14"/>
  <c r="V117" i="14"/>
  <c r="Z117" i="14"/>
  <c r="S100" i="14"/>
  <c r="W100" i="14"/>
  <c r="AA100" i="14"/>
  <c r="S117" i="14"/>
  <c r="W117" i="14"/>
  <c r="AA117" i="14"/>
  <c r="T100" i="14"/>
  <c r="X100" i="14"/>
  <c r="AB100" i="14"/>
  <c r="T117" i="14"/>
  <c r="X117" i="14"/>
  <c r="AB117" i="14"/>
  <c r="Z42" i="12"/>
  <c r="V42" i="12"/>
  <c r="R42" i="12"/>
  <c r="Z26" i="12"/>
  <c r="V26" i="12"/>
  <c r="R26" i="12"/>
  <c r="Z15" i="12"/>
  <c r="V15" i="12"/>
  <c r="R15" i="12"/>
  <c r="Y42" i="12"/>
  <c r="U42" i="12"/>
  <c r="Q42" i="12"/>
  <c r="Y26" i="12"/>
  <c r="U26" i="12"/>
  <c r="Q26" i="12"/>
  <c r="Y15" i="12"/>
  <c r="U15" i="12"/>
  <c r="Q15" i="12"/>
  <c r="X42" i="12"/>
  <c r="T42" i="12"/>
  <c r="P42" i="12"/>
  <c r="X26" i="12"/>
  <c r="T26" i="12"/>
  <c r="P26" i="12"/>
  <c r="X15" i="12"/>
  <c r="T15" i="12"/>
  <c r="P15" i="12"/>
  <c r="W42" i="12"/>
  <c r="S42" i="12"/>
  <c r="O42" i="12"/>
  <c r="W26" i="12"/>
  <c r="S26" i="12"/>
  <c r="O26" i="12"/>
  <c r="W15" i="12"/>
  <c r="S15" i="12"/>
  <c r="O15" i="12"/>
  <c r="O28" i="12"/>
  <c r="O35" i="12"/>
  <c r="S46" i="12"/>
  <c r="S48" i="12"/>
  <c r="W46" i="12"/>
  <c r="W28" i="12"/>
  <c r="P48" i="12"/>
  <c r="P47" i="12"/>
  <c r="P46" i="12"/>
  <c r="P45" i="12"/>
  <c r="P44" i="12"/>
  <c r="T104" i="12"/>
  <c r="T49" i="12" s="1"/>
  <c r="X104" i="12"/>
  <c r="X49" i="12" s="1"/>
  <c r="P35" i="12"/>
  <c r="P28" i="12"/>
  <c r="T28" i="12"/>
  <c r="Q48" i="12"/>
  <c r="Q47" i="12"/>
  <c r="Q46" i="12"/>
  <c r="Q45" i="12"/>
  <c r="Q44" i="12"/>
  <c r="U45" i="12"/>
  <c r="Y45" i="12"/>
  <c r="Y44" i="12"/>
  <c r="Q35" i="12"/>
  <c r="V104" i="12"/>
  <c r="V49" i="12" s="1"/>
  <c r="Z104" i="12"/>
  <c r="Z49" i="12" s="1"/>
  <c r="O103" i="12"/>
  <c r="O104" i="12" s="1"/>
  <c r="O49" i="12" s="1"/>
  <c r="S101" i="12"/>
  <c r="W101" i="12"/>
  <c r="P101" i="12"/>
  <c r="T101" i="12"/>
  <c r="X101" i="12"/>
  <c r="Q101" i="12"/>
  <c r="U101" i="12"/>
  <c r="Y101" i="12"/>
  <c r="R101" i="12"/>
  <c r="V101" i="12"/>
  <c r="Z101" i="12"/>
  <c r="Q24" i="13"/>
  <c r="Q30" i="13" s="1"/>
  <c r="AA13" i="13"/>
  <c r="Z13" i="13"/>
  <c r="V13" i="13"/>
  <c r="R13" i="13"/>
  <c r="Y13" i="13"/>
  <c r="U13" i="13"/>
  <c r="Q13" i="13"/>
  <c r="AB13" i="13"/>
  <c r="X13" i="13"/>
  <c r="T13" i="13"/>
  <c r="W13" i="13"/>
  <c r="S13" i="13"/>
  <c r="BA99" i="14"/>
  <c r="AZ99" i="14"/>
  <c r="AY99" i="14"/>
  <c r="AX99" i="14"/>
  <c r="AW99" i="14"/>
  <c r="AV99" i="14"/>
  <c r="AU99" i="14"/>
  <c r="AT99" i="14"/>
  <c r="AS99" i="14"/>
  <c r="AR99" i="14"/>
  <c r="AQ99" i="14"/>
  <c r="AP99" i="14"/>
  <c r="AO99" i="14"/>
  <c r="AN99" i="14"/>
  <c r="AM99" i="14"/>
  <c r="AL99" i="14"/>
  <c r="AK99" i="14"/>
  <c r="AJ99" i="14"/>
  <c r="AI99" i="14"/>
  <c r="AH99" i="14"/>
  <c r="AG99" i="14"/>
  <c r="AF99" i="14"/>
  <c r="AE99" i="14"/>
  <c r="AD99" i="14"/>
  <c r="AC99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R104" i="12" l="1"/>
  <c r="R49" i="12" s="1"/>
  <c r="R48" i="12" s="1"/>
  <c r="Y48" i="12"/>
  <c r="U47" i="12"/>
  <c r="X28" i="12"/>
  <c r="U46" i="12"/>
  <c r="U44" i="12"/>
  <c r="T35" i="12"/>
  <c r="T30" i="12" s="1"/>
  <c r="AB32" i="13"/>
  <c r="X32" i="13"/>
  <c r="R35" i="12"/>
  <c r="R31" i="12" s="1"/>
  <c r="W47" i="12"/>
  <c r="S44" i="12"/>
  <c r="Y46" i="12"/>
  <c r="W44" i="12"/>
  <c r="W48" i="12"/>
  <c r="S47" i="12"/>
  <c r="U35" i="12"/>
  <c r="U31" i="12" s="1"/>
  <c r="Z35" i="12"/>
  <c r="Z31" i="12" s="1"/>
  <c r="W49" i="14"/>
  <c r="W51" i="14"/>
  <c r="S35" i="12"/>
  <c r="S29" i="12" s="1"/>
  <c r="W35" i="12"/>
  <c r="Q32" i="13"/>
  <c r="Y35" i="12"/>
  <c r="AB51" i="14"/>
  <c r="AB50" i="14"/>
  <c r="AB49" i="14"/>
  <c r="AB48" i="14"/>
  <c r="X51" i="14"/>
  <c r="X50" i="14"/>
  <c r="X49" i="14"/>
  <c r="X48" i="14"/>
  <c r="Y51" i="14"/>
  <c r="Y50" i="14"/>
  <c r="Y49" i="14"/>
  <c r="Y48" i="14"/>
  <c r="T51" i="14"/>
  <c r="T50" i="14"/>
  <c r="T49" i="14"/>
  <c r="T48" i="14"/>
  <c r="U51" i="14"/>
  <c r="U50" i="14"/>
  <c r="U49" i="14"/>
  <c r="U48" i="14"/>
  <c r="V48" i="12"/>
  <c r="V47" i="12"/>
  <c r="V46" i="12"/>
  <c r="V45" i="12"/>
  <c r="V44" i="12"/>
  <c r="R47" i="12"/>
  <c r="R46" i="12"/>
  <c r="R45" i="12"/>
  <c r="O48" i="12"/>
  <c r="O47" i="12"/>
  <c r="O46" i="12"/>
  <c r="O45" i="12"/>
  <c r="O44" i="12"/>
  <c r="X48" i="12"/>
  <c r="X47" i="12"/>
  <c r="X46" i="12"/>
  <c r="X45" i="12"/>
  <c r="X44" i="12"/>
  <c r="U29" i="12"/>
  <c r="X31" i="12"/>
  <c r="X30" i="12"/>
  <c r="X29" i="12"/>
  <c r="P31" i="12"/>
  <c r="P30" i="12"/>
  <c r="P29" i="12"/>
  <c r="O29" i="12"/>
  <c r="O31" i="12"/>
  <c r="O30" i="12"/>
  <c r="Z48" i="12"/>
  <c r="Z47" i="12"/>
  <c r="Z46" i="12"/>
  <c r="Z45" i="12"/>
  <c r="Z44" i="12"/>
  <c r="Q31" i="12"/>
  <c r="Q30" i="12"/>
  <c r="Q29" i="12"/>
  <c r="V31" i="12"/>
  <c r="V30" i="12"/>
  <c r="V29" i="12"/>
  <c r="T48" i="12"/>
  <c r="T47" i="12"/>
  <c r="T46" i="12"/>
  <c r="T45" i="12"/>
  <c r="T44" i="12"/>
  <c r="H100" i="14"/>
  <c r="AZ25" i="14"/>
  <c r="E20" i="14"/>
  <c r="BA118" i="14"/>
  <c r="AZ118" i="14"/>
  <c r="AY118" i="14"/>
  <c r="AX118" i="14"/>
  <c r="AW118" i="14"/>
  <c r="AV118" i="14"/>
  <c r="AU118" i="14"/>
  <c r="AT118" i="14"/>
  <c r="AS118" i="14"/>
  <c r="AR118" i="14"/>
  <c r="AQ118" i="14"/>
  <c r="AP118" i="14"/>
  <c r="AO118" i="14"/>
  <c r="BA116" i="14"/>
  <c r="AZ116" i="14"/>
  <c r="AY116" i="14"/>
  <c r="AX116" i="14"/>
  <c r="AW116" i="14"/>
  <c r="AV116" i="14"/>
  <c r="AU116" i="14"/>
  <c r="AT116" i="14"/>
  <c r="AS116" i="14"/>
  <c r="AR116" i="14"/>
  <c r="AR117" i="14" s="1"/>
  <c r="AQ116" i="14"/>
  <c r="AP116" i="14"/>
  <c r="AP117" i="14" s="1"/>
  <c r="AO116" i="14"/>
  <c r="BA101" i="14"/>
  <c r="BA102" i="14" s="1"/>
  <c r="AZ101" i="14"/>
  <c r="AZ102" i="14" s="1"/>
  <c r="AY101" i="14"/>
  <c r="AY102" i="14" s="1"/>
  <c r="AX101" i="14"/>
  <c r="AX102" i="14" s="1"/>
  <c r="AW101" i="14"/>
  <c r="AW102" i="14" s="1"/>
  <c r="AV101" i="14"/>
  <c r="AV102" i="14" s="1"/>
  <c r="AU101" i="14"/>
  <c r="AU102" i="14" s="1"/>
  <c r="AT101" i="14"/>
  <c r="AT102" i="14" s="1"/>
  <c r="AS101" i="14"/>
  <c r="AS102" i="14" s="1"/>
  <c r="AR101" i="14"/>
  <c r="AR102" i="14" s="1"/>
  <c r="AR103" i="14" s="1"/>
  <c r="AR52" i="14" s="1"/>
  <c r="AQ101" i="14"/>
  <c r="AQ102" i="14" s="1"/>
  <c r="AQ103" i="14" s="1"/>
  <c r="AQ52" i="14" s="1"/>
  <c r="AP101" i="14"/>
  <c r="AP102" i="14" s="1"/>
  <c r="AP103" i="14" s="1"/>
  <c r="AP52" i="14" s="1"/>
  <c r="AO101" i="14"/>
  <c r="AO102" i="14" s="1"/>
  <c r="AO103" i="14" s="1"/>
  <c r="AO52" i="14" s="1"/>
  <c r="BA100" i="14"/>
  <c r="AZ100" i="14"/>
  <c r="AY100" i="14"/>
  <c r="AX100" i="14"/>
  <c r="AW100" i="14"/>
  <c r="AV100" i="14"/>
  <c r="AU100" i="14"/>
  <c r="AT100" i="14"/>
  <c r="AS100" i="14"/>
  <c r="AR100" i="14"/>
  <c r="AQ100" i="14"/>
  <c r="AP100" i="14"/>
  <c r="AO100" i="14"/>
  <c r="BA42" i="14"/>
  <c r="AZ42" i="14"/>
  <c r="AY42" i="14"/>
  <c r="AX42" i="14"/>
  <c r="AW42" i="14"/>
  <c r="AV42" i="14"/>
  <c r="AU42" i="14"/>
  <c r="AT42" i="14"/>
  <c r="AS42" i="14"/>
  <c r="AR42" i="14"/>
  <c r="AQ42" i="14"/>
  <c r="AP42" i="14"/>
  <c r="AO42" i="14"/>
  <c r="BA41" i="14"/>
  <c r="AZ41" i="14"/>
  <c r="AY41" i="14"/>
  <c r="AX41" i="14"/>
  <c r="AW41" i="14"/>
  <c r="AV41" i="14"/>
  <c r="AU41" i="14"/>
  <c r="AT41" i="14"/>
  <c r="AS41" i="14"/>
  <c r="AR41" i="14"/>
  <c r="AQ41" i="14"/>
  <c r="AP41" i="14"/>
  <c r="AO41" i="14"/>
  <c r="BA40" i="14"/>
  <c r="AZ40" i="14"/>
  <c r="AY40" i="14"/>
  <c r="AX40" i="14"/>
  <c r="AW40" i="14"/>
  <c r="AV40" i="14"/>
  <c r="AU40" i="14"/>
  <c r="AT40" i="14"/>
  <c r="AS40" i="14"/>
  <c r="AR40" i="14"/>
  <c r="AQ40" i="14"/>
  <c r="AP40" i="14"/>
  <c r="AO40" i="14"/>
  <c r="BA39" i="14"/>
  <c r="AZ39" i="14"/>
  <c r="AY39" i="14"/>
  <c r="AX39" i="14"/>
  <c r="AW39" i="14"/>
  <c r="AV39" i="14"/>
  <c r="AU39" i="14"/>
  <c r="AT39" i="14"/>
  <c r="AS39" i="14"/>
  <c r="AR39" i="14"/>
  <c r="AQ39" i="14"/>
  <c r="AP39" i="14"/>
  <c r="AO39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BA25" i="14"/>
  <c r="AY25" i="14"/>
  <c r="AX25" i="14"/>
  <c r="AW25" i="14"/>
  <c r="AV25" i="14"/>
  <c r="AU25" i="14"/>
  <c r="AT25" i="14"/>
  <c r="AS25" i="14"/>
  <c r="AR25" i="14"/>
  <c r="AQ25" i="14"/>
  <c r="AP25" i="14"/>
  <c r="AO25" i="14"/>
  <c r="BA24" i="14"/>
  <c r="AZ24" i="14"/>
  <c r="AY24" i="14"/>
  <c r="AX24" i="14"/>
  <c r="AW24" i="14"/>
  <c r="AV24" i="14"/>
  <c r="AU24" i="14"/>
  <c r="AT24" i="14"/>
  <c r="AS24" i="14"/>
  <c r="AR24" i="14"/>
  <c r="AQ24" i="14"/>
  <c r="AP24" i="14"/>
  <c r="AO24" i="14"/>
  <c r="BA22" i="14"/>
  <c r="AZ22" i="14"/>
  <c r="AY22" i="14"/>
  <c r="AX22" i="14"/>
  <c r="AW22" i="14"/>
  <c r="AV22" i="14"/>
  <c r="AU22" i="14"/>
  <c r="AT22" i="14"/>
  <c r="AS22" i="14"/>
  <c r="AR22" i="14"/>
  <c r="AQ22" i="14"/>
  <c r="AP22" i="14"/>
  <c r="AO22" i="14"/>
  <c r="BA21" i="14"/>
  <c r="AZ21" i="14"/>
  <c r="AY21" i="14"/>
  <c r="AX21" i="14"/>
  <c r="AW21" i="14"/>
  <c r="AV21" i="14"/>
  <c r="AU21" i="14"/>
  <c r="AT21" i="14"/>
  <c r="AS21" i="14"/>
  <c r="AR21" i="14"/>
  <c r="AQ21" i="14"/>
  <c r="AP21" i="14"/>
  <c r="AO21" i="14"/>
  <c r="BA20" i="14"/>
  <c r="AZ20" i="14"/>
  <c r="AY20" i="14"/>
  <c r="AX20" i="14"/>
  <c r="AW20" i="14"/>
  <c r="AV20" i="14"/>
  <c r="AU20" i="14"/>
  <c r="AT20" i="14"/>
  <c r="AS20" i="14"/>
  <c r="AR20" i="14"/>
  <c r="AQ20" i="14"/>
  <c r="AP20" i="14"/>
  <c r="AO20" i="14"/>
  <c r="AZ19" i="14"/>
  <c r="AY19" i="14"/>
  <c r="AX19" i="14"/>
  <c r="AW19" i="14"/>
  <c r="AV19" i="14"/>
  <c r="AU19" i="14"/>
  <c r="AT19" i="14"/>
  <c r="AS19" i="14"/>
  <c r="AR19" i="14"/>
  <c r="AQ19" i="14"/>
  <c r="AP19" i="14"/>
  <c r="AO19" i="14"/>
  <c r="BA18" i="14"/>
  <c r="AZ18" i="14"/>
  <c r="AY18" i="14"/>
  <c r="AX18" i="14"/>
  <c r="AW18" i="14"/>
  <c r="AV18" i="14"/>
  <c r="AU18" i="14"/>
  <c r="AT18" i="14"/>
  <c r="AS18" i="14"/>
  <c r="AR18" i="14"/>
  <c r="AQ18" i="14"/>
  <c r="AP18" i="14"/>
  <c r="AO18" i="14"/>
  <c r="BA17" i="14"/>
  <c r="AZ17" i="14"/>
  <c r="AY17" i="14"/>
  <c r="AX17" i="14"/>
  <c r="AW17" i="14"/>
  <c r="AV17" i="14"/>
  <c r="AU17" i="14"/>
  <c r="AT17" i="14"/>
  <c r="AS17" i="14"/>
  <c r="AR17" i="14"/>
  <c r="AQ17" i="14"/>
  <c r="AP17" i="14"/>
  <c r="AO17" i="14"/>
  <c r="BA16" i="14"/>
  <c r="AZ16" i="14"/>
  <c r="AY16" i="14"/>
  <c r="AX16" i="14"/>
  <c r="AW16" i="14"/>
  <c r="AV16" i="14"/>
  <c r="AU16" i="14"/>
  <c r="AT16" i="14"/>
  <c r="AS16" i="14"/>
  <c r="AR16" i="14"/>
  <c r="AQ16" i="14"/>
  <c r="AP16" i="14"/>
  <c r="AO16" i="14"/>
  <c r="AY119" i="12"/>
  <c r="AX119" i="12"/>
  <c r="AW119" i="12"/>
  <c r="AV119" i="12"/>
  <c r="AU119" i="12"/>
  <c r="AT119" i="12"/>
  <c r="AS119" i="12"/>
  <c r="AR119" i="12"/>
  <c r="AQ119" i="12"/>
  <c r="AP119" i="12"/>
  <c r="AP120" i="12" s="1"/>
  <c r="AP34" i="12" s="1"/>
  <c r="AO119" i="12"/>
  <c r="AN119" i="12"/>
  <c r="AN120" i="12" s="1"/>
  <c r="AN34" i="12" s="1"/>
  <c r="AM119" i="12"/>
  <c r="AM120" i="12" s="1"/>
  <c r="AM34" i="12" s="1"/>
  <c r="AY110" i="12"/>
  <c r="AX110" i="12"/>
  <c r="AW110" i="12"/>
  <c r="AV110" i="12"/>
  <c r="AU110" i="12"/>
  <c r="AT110" i="12"/>
  <c r="AS110" i="12"/>
  <c r="AR110" i="12"/>
  <c r="AQ110" i="12"/>
  <c r="AP110" i="12"/>
  <c r="AP111" i="12" s="1"/>
  <c r="AP33" i="12" s="1"/>
  <c r="AO110" i="12"/>
  <c r="AO111" i="12" s="1"/>
  <c r="AO33" i="12" s="1"/>
  <c r="AN110" i="12"/>
  <c r="AN111" i="12" s="1"/>
  <c r="AN33" i="12" s="1"/>
  <c r="AM110" i="12"/>
  <c r="AM111" i="12" s="1"/>
  <c r="AM33" i="12" s="1"/>
  <c r="AY102" i="12"/>
  <c r="AX102" i="12"/>
  <c r="AW102" i="12"/>
  <c r="AV102" i="12"/>
  <c r="AU102" i="12"/>
  <c r="AT102" i="12"/>
  <c r="AS102" i="12"/>
  <c r="AR102" i="12"/>
  <c r="AQ102" i="12"/>
  <c r="AP102" i="12"/>
  <c r="AO102" i="12"/>
  <c r="AN102" i="12"/>
  <c r="AM102" i="12"/>
  <c r="AY100" i="12"/>
  <c r="AX100" i="12"/>
  <c r="AW100" i="12"/>
  <c r="AV100" i="12"/>
  <c r="AU100" i="12"/>
  <c r="AT100" i="12"/>
  <c r="AS100" i="12"/>
  <c r="AR100" i="12"/>
  <c r="AQ100" i="12"/>
  <c r="AP100" i="12"/>
  <c r="AP101" i="12" s="1"/>
  <c r="AO100" i="12"/>
  <c r="AO101" i="12" s="1"/>
  <c r="AN100" i="12"/>
  <c r="AM100" i="12"/>
  <c r="AM101" i="12" s="1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AM22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Y19" i="12"/>
  <c r="AX19" i="12"/>
  <c r="AW19" i="12"/>
  <c r="AV19" i="12"/>
  <c r="AU19" i="12"/>
  <c r="AT19" i="12"/>
  <c r="AS19" i="12"/>
  <c r="AR19" i="12"/>
  <c r="AQ19" i="12"/>
  <c r="AP19" i="12"/>
  <c r="AO19" i="12"/>
  <c r="AN19" i="12"/>
  <c r="AM19" i="12"/>
  <c r="AY18" i="12"/>
  <c r="AX18" i="12"/>
  <c r="AW18" i="12"/>
  <c r="AV18" i="12"/>
  <c r="AU18" i="12"/>
  <c r="AT18" i="12"/>
  <c r="AS18" i="12"/>
  <c r="AR18" i="12"/>
  <c r="AQ18" i="12"/>
  <c r="AP18" i="12"/>
  <c r="AO18" i="12"/>
  <c r="AN18" i="12"/>
  <c r="AM18" i="12"/>
  <c r="AY17" i="12"/>
  <c r="AX17" i="12"/>
  <c r="AW17" i="12"/>
  <c r="AV17" i="12"/>
  <c r="AU17" i="12"/>
  <c r="AT17" i="12"/>
  <c r="AS17" i="12"/>
  <c r="AR17" i="12"/>
  <c r="AQ17" i="12"/>
  <c r="AP17" i="12"/>
  <c r="AO17" i="12"/>
  <c r="AN17" i="12"/>
  <c r="AM17" i="12"/>
  <c r="T29" i="12" l="1"/>
  <c r="T31" i="12"/>
  <c r="R44" i="12"/>
  <c r="Z30" i="12"/>
  <c r="R29" i="12"/>
  <c r="R32" i="12" s="1"/>
  <c r="R30" i="12"/>
  <c r="Z29" i="12"/>
  <c r="Z32" i="12" s="1"/>
  <c r="U30" i="12"/>
  <c r="U32" i="12" s="1"/>
  <c r="W31" i="12"/>
  <c r="W30" i="12"/>
  <c r="W29" i="12"/>
  <c r="S30" i="12"/>
  <c r="S31" i="12"/>
  <c r="T32" i="12"/>
  <c r="O32" i="12"/>
  <c r="X32" i="12"/>
  <c r="P32" i="12"/>
  <c r="AR23" i="14"/>
  <c r="AR28" i="14" s="1"/>
  <c r="AR33" i="14" s="1"/>
  <c r="AR43" i="14" s="1"/>
  <c r="AV23" i="14"/>
  <c r="AV28" i="14" s="1"/>
  <c r="AV33" i="14" s="1"/>
  <c r="AV43" i="14" s="1"/>
  <c r="Q32" i="12"/>
  <c r="Y31" i="12"/>
  <c r="Y30" i="12"/>
  <c r="Y29" i="12"/>
  <c r="AO119" i="14"/>
  <c r="AO120" i="14" s="1"/>
  <c r="AO59" i="14" s="1"/>
  <c r="AO58" i="14" s="1"/>
  <c r="AS119" i="14"/>
  <c r="AW119" i="14"/>
  <c r="V32" i="12"/>
  <c r="AP23" i="14"/>
  <c r="AT23" i="14"/>
  <c r="AT28" i="14" s="1"/>
  <c r="AT33" i="14" s="1"/>
  <c r="AT43" i="14" s="1"/>
  <c r="AX23" i="14"/>
  <c r="AX28" i="14" s="1"/>
  <c r="AX33" i="14" s="1"/>
  <c r="AX43" i="14" s="1"/>
  <c r="AO23" i="14"/>
  <c r="AO28" i="14" s="1"/>
  <c r="AO33" i="14" s="1"/>
  <c r="AO43" i="14" s="1"/>
  <c r="AS23" i="14"/>
  <c r="AS28" i="14" s="1"/>
  <c r="AS33" i="14" s="1"/>
  <c r="AS43" i="14" s="1"/>
  <c r="AW23" i="14"/>
  <c r="AW28" i="14" s="1"/>
  <c r="AW33" i="14" s="1"/>
  <c r="AW43" i="14" s="1"/>
  <c r="BA23" i="14"/>
  <c r="BA28" i="14" s="1"/>
  <c r="BA33" i="14" s="1"/>
  <c r="BA43" i="14" s="1"/>
  <c r="BA119" i="14"/>
  <c r="AV103" i="14"/>
  <c r="AV52" i="14" s="1"/>
  <c r="AV48" i="14" s="1"/>
  <c r="M56" i="14"/>
  <c r="I56" i="14"/>
  <c r="E56" i="14"/>
  <c r="M46" i="14"/>
  <c r="I46" i="14"/>
  <c r="E46" i="14"/>
  <c r="M14" i="14"/>
  <c r="I14" i="14"/>
  <c r="E14" i="14"/>
  <c r="P56" i="14"/>
  <c r="L56" i="14"/>
  <c r="H56" i="14"/>
  <c r="P46" i="14"/>
  <c r="L46" i="14"/>
  <c r="H46" i="14"/>
  <c r="P14" i="14"/>
  <c r="L14" i="14"/>
  <c r="H14" i="14"/>
  <c r="O56" i="14"/>
  <c r="K56" i="14"/>
  <c r="G56" i="14"/>
  <c r="O46" i="14"/>
  <c r="K46" i="14"/>
  <c r="G46" i="14"/>
  <c r="O14" i="14"/>
  <c r="K14" i="14"/>
  <c r="G14" i="14"/>
  <c r="N56" i="14"/>
  <c r="J56" i="14"/>
  <c r="F56" i="14"/>
  <c r="N46" i="14"/>
  <c r="J46" i="14"/>
  <c r="F46" i="14"/>
  <c r="N14" i="14"/>
  <c r="J14" i="14"/>
  <c r="F14" i="14"/>
  <c r="AZ23" i="14"/>
  <c r="AZ28" i="14" s="1"/>
  <c r="AZ33" i="14" s="1"/>
  <c r="AZ43" i="14" s="1"/>
  <c r="BA103" i="14"/>
  <c r="BA52" i="14" s="1"/>
  <c r="AO50" i="14"/>
  <c r="AO48" i="14"/>
  <c r="AO51" i="14"/>
  <c r="AO49" i="14"/>
  <c r="AQ23" i="14"/>
  <c r="AQ28" i="14" s="1"/>
  <c r="AQ33" i="14" s="1"/>
  <c r="AQ43" i="14" s="1"/>
  <c r="AU23" i="14"/>
  <c r="AU28" i="14" s="1"/>
  <c r="AU33" i="14" s="1"/>
  <c r="AU43" i="14" s="1"/>
  <c r="AY23" i="14"/>
  <c r="AY28" i="14" s="1"/>
  <c r="AY33" i="14" s="1"/>
  <c r="AY43" i="14" s="1"/>
  <c r="AU103" i="14"/>
  <c r="AU52" i="14" s="1"/>
  <c r="AU49" i="14" s="1"/>
  <c r="AY103" i="14"/>
  <c r="AY52" i="14" s="1"/>
  <c r="AP119" i="14"/>
  <c r="AP120" i="14" s="1"/>
  <c r="AP59" i="14" s="1"/>
  <c r="AP58" i="14" s="1"/>
  <c r="AT119" i="14"/>
  <c r="AX119" i="14"/>
  <c r="AZ103" i="14"/>
  <c r="AZ52" i="14" s="1"/>
  <c r="AT117" i="14"/>
  <c r="AX117" i="14"/>
  <c r="AY119" i="14"/>
  <c r="AQ117" i="14"/>
  <c r="AP28" i="14"/>
  <c r="AP33" i="14" s="1"/>
  <c r="AP43" i="14" s="1"/>
  <c r="AV117" i="14"/>
  <c r="AZ117" i="14"/>
  <c r="AQ50" i="14"/>
  <c r="AQ49" i="14"/>
  <c r="AQ48" i="14"/>
  <c r="AP51" i="14"/>
  <c r="AP50" i="14"/>
  <c r="AP49" i="14"/>
  <c r="AP48" i="14"/>
  <c r="AX103" i="14"/>
  <c r="AX52" i="14" s="1"/>
  <c r="AR49" i="14"/>
  <c r="AR48" i="14"/>
  <c r="AR51" i="14"/>
  <c r="AR50" i="14"/>
  <c r="AT103" i="14"/>
  <c r="AT52" i="14" s="1"/>
  <c r="AO117" i="14"/>
  <c r="AS117" i="14"/>
  <c r="AW117" i="14"/>
  <c r="BA117" i="14"/>
  <c r="AQ119" i="14"/>
  <c r="AQ120" i="14" s="1"/>
  <c r="AQ59" i="14" s="1"/>
  <c r="AQ58" i="14" s="1"/>
  <c r="AU119" i="14"/>
  <c r="AR119" i="14"/>
  <c r="AR120" i="14" s="1"/>
  <c r="AR59" i="14" s="1"/>
  <c r="AR58" i="14" s="1"/>
  <c r="AV119" i="14"/>
  <c r="AZ119" i="14"/>
  <c r="AZ120" i="14" s="1"/>
  <c r="AZ59" i="14" s="1"/>
  <c r="AZ58" i="14" s="1"/>
  <c r="AS103" i="14"/>
  <c r="AS52" i="14" s="1"/>
  <c r="AW103" i="14"/>
  <c r="AW52" i="14" s="1"/>
  <c r="AU117" i="14"/>
  <c r="AY117" i="14"/>
  <c r="AR111" i="12"/>
  <c r="AR33" i="12" s="1"/>
  <c r="AV111" i="12"/>
  <c r="AV33" i="12" s="1"/>
  <c r="AY111" i="12"/>
  <c r="AY33" i="12" s="1"/>
  <c r="AY28" i="12" s="1"/>
  <c r="AY101" i="12"/>
  <c r="AN103" i="12"/>
  <c r="AN104" i="12" s="1"/>
  <c r="AN49" i="12" s="1"/>
  <c r="AR103" i="12"/>
  <c r="AV103" i="12"/>
  <c r="N42" i="12"/>
  <c r="J42" i="12"/>
  <c r="F42" i="12"/>
  <c r="N26" i="12"/>
  <c r="J26" i="12"/>
  <c r="F26" i="12"/>
  <c r="L42" i="12"/>
  <c r="D42" i="12"/>
  <c r="L26" i="12"/>
  <c r="M42" i="12"/>
  <c r="I42" i="12"/>
  <c r="E42" i="12"/>
  <c r="M26" i="12"/>
  <c r="I26" i="12"/>
  <c r="E26" i="12"/>
  <c r="H42" i="12"/>
  <c r="H26" i="12"/>
  <c r="D26" i="12"/>
  <c r="K42" i="12"/>
  <c r="G42" i="12"/>
  <c r="C42" i="12"/>
  <c r="K26" i="12"/>
  <c r="G26" i="12"/>
  <c r="C26" i="12"/>
  <c r="AT21" i="12"/>
  <c r="AT23" i="12" s="1"/>
  <c r="AX21" i="12"/>
  <c r="AX23" i="12" s="1"/>
  <c r="AN21" i="12"/>
  <c r="AN23" i="12" s="1"/>
  <c r="AR21" i="12"/>
  <c r="AR23" i="12" s="1"/>
  <c r="AV21" i="12"/>
  <c r="AV23" i="12" s="1"/>
  <c r="AT120" i="12"/>
  <c r="AT34" i="12" s="1"/>
  <c r="AX120" i="12"/>
  <c r="AX34" i="12" s="1"/>
  <c r="AT101" i="12"/>
  <c r="AX101" i="12"/>
  <c r="N15" i="12"/>
  <c r="J15" i="12"/>
  <c r="F15" i="12"/>
  <c r="M15" i="12"/>
  <c r="I15" i="12"/>
  <c r="E15" i="12"/>
  <c r="L15" i="12"/>
  <c r="H15" i="12"/>
  <c r="D15" i="12"/>
  <c r="K15" i="12"/>
  <c r="G15" i="12"/>
  <c r="C15" i="12"/>
  <c r="AX103" i="12"/>
  <c r="AP35" i="12"/>
  <c r="AP30" i="12" s="1"/>
  <c r="AO21" i="12"/>
  <c r="AO23" i="12" s="1"/>
  <c r="AS21" i="12"/>
  <c r="AS23" i="12" s="1"/>
  <c r="AW21" i="12"/>
  <c r="AW23" i="12" s="1"/>
  <c r="AM103" i="12"/>
  <c r="AM104" i="12" s="1"/>
  <c r="AM49" i="12" s="1"/>
  <c r="AM47" i="12" s="1"/>
  <c r="AQ103" i="12"/>
  <c r="AU103" i="12"/>
  <c r="AY103" i="12"/>
  <c r="AT111" i="12"/>
  <c r="AT33" i="12" s="1"/>
  <c r="AX111" i="12"/>
  <c r="AX33" i="12" s="1"/>
  <c r="AX28" i="12" s="1"/>
  <c r="AQ120" i="12"/>
  <c r="AQ34" i="12" s="1"/>
  <c r="AU120" i="12"/>
  <c r="AU34" i="12" s="1"/>
  <c r="AY120" i="12"/>
  <c r="AY34" i="12" s="1"/>
  <c r="AP28" i="12"/>
  <c r="AP103" i="12"/>
  <c r="AP104" i="12" s="1"/>
  <c r="AM21" i="12"/>
  <c r="AM23" i="12" s="1"/>
  <c r="AQ21" i="12"/>
  <c r="AQ23" i="12" s="1"/>
  <c r="AU21" i="12"/>
  <c r="AU23" i="12" s="1"/>
  <c r="AY21" i="12"/>
  <c r="AY23" i="12" s="1"/>
  <c r="AS101" i="12"/>
  <c r="AW101" i="12"/>
  <c r="AN101" i="12"/>
  <c r="AT103" i="12"/>
  <c r="AS111" i="12"/>
  <c r="AS33" i="12" s="1"/>
  <c r="AS28" i="12" s="1"/>
  <c r="AW111" i="12"/>
  <c r="AW33" i="12" s="1"/>
  <c r="AR120" i="12"/>
  <c r="AR34" i="12" s="1"/>
  <c r="AR35" i="12" s="1"/>
  <c r="AV120" i="12"/>
  <c r="AV34" i="12" s="1"/>
  <c r="AO120" i="12"/>
  <c r="AO34" i="12" s="1"/>
  <c r="AO35" i="12" s="1"/>
  <c r="AV42" i="12"/>
  <c r="AR42" i="12"/>
  <c r="AN42" i="12"/>
  <c r="AX26" i="12"/>
  <c r="AT26" i="12"/>
  <c r="AP26" i="12"/>
  <c r="AV15" i="12"/>
  <c r="AR15" i="12"/>
  <c r="AN15" i="12"/>
  <c r="AS42" i="12"/>
  <c r="AM26" i="12"/>
  <c r="AO15" i="12"/>
  <c r="AY42" i="12"/>
  <c r="AU42" i="12"/>
  <c r="AQ42" i="12"/>
  <c r="AM42" i="12"/>
  <c r="AW26" i="12"/>
  <c r="AS26" i="12"/>
  <c r="AO26" i="12"/>
  <c r="AY15" i="12"/>
  <c r="AU15" i="12"/>
  <c r="AQ15" i="12"/>
  <c r="AM15" i="12"/>
  <c r="AX15" i="12"/>
  <c r="AP15" i="12"/>
  <c r="AO42" i="12"/>
  <c r="AU26" i="12"/>
  <c r="AS15" i="12"/>
  <c r="AX42" i="12"/>
  <c r="AT42" i="12"/>
  <c r="AP42" i="12"/>
  <c r="AV26" i="12"/>
  <c r="AR26" i="12"/>
  <c r="AN26" i="12"/>
  <c r="AT15" i="12"/>
  <c r="AW42" i="12"/>
  <c r="AY26" i="12"/>
  <c r="AW15" i="12"/>
  <c r="AQ26" i="12"/>
  <c r="AN28" i="12"/>
  <c r="AN35" i="12"/>
  <c r="AN45" i="12"/>
  <c r="AN44" i="12"/>
  <c r="AN47" i="12"/>
  <c r="AN46" i="12"/>
  <c r="AR28" i="12"/>
  <c r="AM35" i="12"/>
  <c r="AO28" i="12"/>
  <c r="AW28" i="12"/>
  <c r="AM28" i="12"/>
  <c r="AQ101" i="12"/>
  <c r="AU101" i="12"/>
  <c r="AO103" i="12"/>
  <c r="AO104" i="12" s="1"/>
  <c r="AO49" i="12" s="1"/>
  <c r="AS103" i="12"/>
  <c r="AW103" i="12"/>
  <c r="AR101" i="12"/>
  <c r="AV101" i="12"/>
  <c r="AQ111" i="12"/>
  <c r="AQ33" i="12" s="1"/>
  <c r="AU111" i="12"/>
  <c r="AU33" i="12" s="1"/>
  <c r="AS120" i="12"/>
  <c r="AS34" i="12" s="1"/>
  <c r="AW120" i="12"/>
  <c r="AW34" i="12" s="1"/>
  <c r="AP21" i="12"/>
  <c r="AP23" i="12" s="1"/>
  <c r="AU50" i="14" l="1"/>
  <c r="BA120" i="14"/>
  <c r="BA59" i="14" s="1"/>
  <c r="BA58" i="14" s="1"/>
  <c r="AW120" i="14"/>
  <c r="AW59" i="14" s="1"/>
  <c r="AW58" i="14" s="1"/>
  <c r="AV50" i="14"/>
  <c r="AV120" i="14"/>
  <c r="AV59" i="14" s="1"/>
  <c r="AV58" i="14" s="1"/>
  <c r="AV51" i="14"/>
  <c r="AV49" i="14"/>
  <c r="AS104" i="12"/>
  <c r="AS49" i="12" s="1"/>
  <c r="AS46" i="12" s="1"/>
  <c r="W32" i="12"/>
  <c r="S32" i="12"/>
  <c r="AY104" i="12"/>
  <c r="AY49" i="12" s="1"/>
  <c r="AY44" i="12" s="1"/>
  <c r="AT35" i="12"/>
  <c r="AT29" i="12" s="1"/>
  <c r="AW104" i="12"/>
  <c r="AW49" i="12" s="1"/>
  <c r="AZ51" i="14"/>
  <c r="AY51" i="14"/>
  <c r="Y32" i="12"/>
  <c r="AU51" i="14"/>
  <c r="AP49" i="12"/>
  <c r="AP48" i="12" s="1"/>
  <c r="AQ51" i="14"/>
  <c r="AU48" i="14"/>
  <c r="AY49" i="14"/>
  <c r="AS120" i="14"/>
  <c r="AS59" i="14" s="1"/>
  <c r="AS58" i="14" s="1"/>
  <c r="AU120" i="14"/>
  <c r="AU59" i="14" s="1"/>
  <c r="AU58" i="14" s="1"/>
  <c r="AZ50" i="14"/>
  <c r="AZ48" i="14"/>
  <c r="AY50" i="14"/>
  <c r="AZ49" i="14"/>
  <c r="AZ56" i="14"/>
  <c r="AV56" i="14"/>
  <c r="AR56" i="14"/>
  <c r="AY46" i="14"/>
  <c r="AU46" i="14"/>
  <c r="AQ46" i="14"/>
  <c r="AY14" i="14"/>
  <c r="AU14" i="14"/>
  <c r="AQ14" i="14"/>
  <c r="AX14" i="14"/>
  <c r="AT14" i="14"/>
  <c r="AP14" i="14"/>
  <c r="AS14" i="14"/>
  <c r="AY56" i="14"/>
  <c r="AU56" i="14"/>
  <c r="AQ56" i="14"/>
  <c r="AX46" i="14"/>
  <c r="AT46" i="14"/>
  <c r="AP46" i="14"/>
  <c r="AW14" i="14"/>
  <c r="AX56" i="14"/>
  <c r="AT56" i="14"/>
  <c r="AP56" i="14"/>
  <c r="BA46" i="14"/>
  <c r="AW46" i="14"/>
  <c r="AS46" i="14"/>
  <c r="AO46" i="14"/>
  <c r="BA56" i="14"/>
  <c r="AW56" i="14"/>
  <c r="AS56" i="14"/>
  <c r="AO56" i="14"/>
  <c r="AZ46" i="14"/>
  <c r="AV46" i="14"/>
  <c r="AR46" i="14"/>
  <c r="AZ14" i="14"/>
  <c r="AV14" i="14"/>
  <c r="AR14" i="14"/>
  <c r="BA14" i="14"/>
  <c r="AO14" i="14"/>
  <c r="AY48" i="14"/>
  <c r="BA50" i="14"/>
  <c r="BA48" i="14"/>
  <c r="BA51" i="14"/>
  <c r="BA49" i="14"/>
  <c r="AS48" i="14"/>
  <c r="AS51" i="14"/>
  <c r="AS50" i="14"/>
  <c r="AS49" i="14"/>
  <c r="AX120" i="14"/>
  <c r="AX59" i="14" s="1"/>
  <c r="AX58" i="14" s="1"/>
  <c r="AY120" i="14"/>
  <c r="AY59" i="14" s="1"/>
  <c r="AY58" i="14" s="1"/>
  <c r="AT120" i="14"/>
  <c r="AT59" i="14" s="1"/>
  <c r="AT58" i="14" s="1"/>
  <c r="AW48" i="14"/>
  <c r="AW51" i="14"/>
  <c r="AW50" i="14"/>
  <c r="AW49" i="14"/>
  <c r="AT51" i="14"/>
  <c r="AT50" i="14"/>
  <c r="AT49" i="14"/>
  <c r="AT48" i="14"/>
  <c r="AX51" i="14"/>
  <c r="AX50" i="14"/>
  <c r="AX49" i="14"/>
  <c r="AX48" i="14"/>
  <c r="AT104" i="12"/>
  <c r="AT49" i="12" s="1"/>
  <c r="AT47" i="12" s="1"/>
  <c r="AY35" i="12"/>
  <c r="AY29" i="12" s="1"/>
  <c r="AX35" i="12"/>
  <c r="AX31" i="12" s="1"/>
  <c r="AV35" i="12"/>
  <c r="AV30" i="12" s="1"/>
  <c r="AV28" i="12"/>
  <c r="AM46" i="12"/>
  <c r="AU104" i="12"/>
  <c r="AU49" i="12" s="1"/>
  <c r="AW35" i="12"/>
  <c r="AW30" i="12" s="1"/>
  <c r="AN48" i="12"/>
  <c r="AX104" i="12"/>
  <c r="AX49" i="12" s="1"/>
  <c r="AM48" i="12"/>
  <c r="AQ104" i="12"/>
  <c r="AQ49" i="12" s="1"/>
  <c r="AM45" i="12"/>
  <c r="AP31" i="12"/>
  <c r="AT28" i="12"/>
  <c r="AS35" i="12"/>
  <c r="AS31" i="12" s="1"/>
  <c r="AM44" i="12"/>
  <c r="AP29" i="12"/>
  <c r="AV104" i="12"/>
  <c r="AV49" i="12" s="1"/>
  <c r="AV45" i="12" s="1"/>
  <c r="AQ35" i="12"/>
  <c r="AQ28" i="12"/>
  <c r="AS48" i="12"/>
  <c r="AN30" i="12"/>
  <c r="AN29" i="12"/>
  <c r="AN31" i="12"/>
  <c r="AO48" i="12"/>
  <c r="AO44" i="12"/>
  <c r="AO47" i="12"/>
  <c r="AO46" i="12"/>
  <c r="AO45" i="12"/>
  <c r="AM31" i="12"/>
  <c r="AM30" i="12"/>
  <c r="AM29" i="12"/>
  <c r="AR104" i="12"/>
  <c r="AR49" i="12" s="1"/>
  <c r="AT31" i="12"/>
  <c r="AO29" i="12"/>
  <c r="AO31" i="12"/>
  <c r="AO30" i="12"/>
  <c r="AR30" i="12"/>
  <c r="AR29" i="12"/>
  <c r="AR31" i="12"/>
  <c r="AU35" i="12"/>
  <c r="AU28" i="12"/>
  <c r="AW48" i="12"/>
  <c r="AW44" i="12"/>
  <c r="AW47" i="12"/>
  <c r="AW46" i="12"/>
  <c r="AW45" i="12"/>
  <c r="AY48" i="12"/>
  <c r="AS47" i="12" l="1"/>
  <c r="AS45" i="12"/>
  <c r="AT30" i="12"/>
  <c r="AT32" i="12" s="1"/>
  <c r="AS44" i="12"/>
  <c r="AY45" i="12"/>
  <c r="AY46" i="12"/>
  <c r="AY47" i="12"/>
  <c r="AT46" i="12"/>
  <c r="AY31" i="12"/>
  <c r="AV31" i="12"/>
  <c r="AX29" i="12"/>
  <c r="AV29" i="12"/>
  <c r="AW31" i="12"/>
  <c r="AW29" i="12"/>
  <c r="AT44" i="12"/>
  <c r="AT48" i="12"/>
  <c r="AT45" i="12"/>
  <c r="AY30" i="12"/>
  <c r="AY32" i="12" s="1"/>
  <c r="AP47" i="12"/>
  <c r="AP46" i="12"/>
  <c r="AP44" i="12"/>
  <c r="AP45" i="12"/>
  <c r="AX30" i="12"/>
  <c r="AX32" i="12" s="1"/>
  <c r="AU48" i="12"/>
  <c r="AU46" i="12"/>
  <c r="AU47" i="12"/>
  <c r="AU44" i="12"/>
  <c r="AU45" i="12"/>
  <c r="AX48" i="12"/>
  <c r="AX44" i="12"/>
  <c r="AX46" i="12"/>
  <c r="AX47" i="12"/>
  <c r="AX45" i="12"/>
  <c r="AV47" i="12"/>
  <c r="AV44" i="12"/>
  <c r="AV48" i="12"/>
  <c r="AR32" i="12"/>
  <c r="AM32" i="12"/>
  <c r="AQ48" i="12"/>
  <c r="AQ44" i="12"/>
  <c r="AQ46" i="12"/>
  <c r="AQ47" i="12"/>
  <c r="AQ45" i="12"/>
  <c r="AV46" i="12"/>
  <c r="AS29" i="12"/>
  <c r="AS30" i="12"/>
  <c r="AP32" i="12"/>
  <c r="AN32" i="12"/>
  <c r="AO32" i="12"/>
  <c r="AQ31" i="12"/>
  <c r="AQ30" i="12"/>
  <c r="AQ29" i="12"/>
  <c r="AR45" i="12"/>
  <c r="AR48" i="12"/>
  <c r="AR44" i="12"/>
  <c r="AR47" i="12"/>
  <c r="AR46" i="12"/>
  <c r="AU31" i="12"/>
  <c r="AU30" i="12"/>
  <c r="AU29" i="12"/>
  <c r="AV32" i="12" l="1"/>
  <c r="AW32" i="12"/>
  <c r="AU32" i="12"/>
  <c r="AQ32" i="12"/>
  <c r="AS32" i="12"/>
  <c r="BA101" i="13" l="1"/>
  <c r="AZ101" i="13"/>
  <c r="AZ20" i="13" s="1"/>
  <c r="AY101" i="13"/>
  <c r="AX101" i="13"/>
  <c r="AX20" i="13" s="1"/>
  <c r="AW101" i="13"/>
  <c r="AV101" i="13"/>
  <c r="AU101" i="13"/>
  <c r="AT101" i="13"/>
  <c r="AT20" i="13" s="1"/>
  <c r="AS101" i="13"/>
  <c r="AR101" i="13"/>
  <c r="AQ101" i="13"/>
  <c r="AP101" i="13"/>
  <c r="AP20" i="13" s="1"/>
  <c r="AO101" i="13"/>
  <c r="BA97" i="13"/>
  <c r="AZ97" i="13"/>
  <c r="AY97" i="13"/>
  <c r="AY19" i="13" s="1"/>
  <c r="AX97" i="13"/>
  <c r="AW97" i="13"/>
  <c r="AW19" i="13" s="1"/>
  <c r="AV97" i="13"/>
  <c r="AU97" i="13"/>
  <c r="AU19" i="13" s="1"/>
  <c r="AT97" i="13"/>
  <c r="AS97" i="13"/>
  <c r="AS19" i="13" s="1"/>
  <c r="AR97" i="13"/>
  <c r="AQ97" i="13"/>
  <c r="AQ19" i="13" s="1"/>
  <c r="AP97" i="13"/>
  <c r="AO97" i="13"/>
  <c r="BA90" i="13"/>
  <c r="AZ90" i="13"/>
  <c r="AZ31" i="13" s="1"/>
  <c r="AY90" i="13"/>
  <c r="AY31" i="13" s="1"/>
  <c r="AX90" i="13"/>
  <c r="AX31" i="13" s="1"/>
  <c r="AW90" i="13"/>
  <c r="AW31" i="13" s="1"/>
  <c r="AV90" i="13"/>
  <c r="AU90" i="13"/>
  <c r="AU31" i="13" s="1"/>
  <c r="AT90" i="13"/>
  <c r="AT31" i="13" s="1"/>
  <c r="AS90" i="13"/>
  <c r="AR90" i="13"/>
  <c r="AR31" i="13" s="1"/>
  <c r="AQ90" i="13"/>
  <c r="AQ31" i="13" s="1"/>
  <c r="AP90" i="13"/>
  <c r="AP31" i="13" s="1"/>
  <c r="AO90" i="13"/>
  <c r="AO31" i="13" s="1"/>
  <c r="BA84" i="13"/>
  <c r="BA29" i="13" s="1"/>
  <c r="AZ84" i="13"/>
  <c r="AZ29" i="13" s="1"/>
  <c r="AY84" i="13"/>
  <c r="AY29" i="13" s="1"/>
  <c r="AX84" i="13"/>
  <c r="AX29" i="13" s="1"/>
  <c r="AW84" i="13"/>
  <c r="AW29" i="13" s="1"/>
  <c r="AV84" i="13"/>
  <c r="AU84" i="13"/>
  <c r="AU29" i="13" s="1"/>
  <c r="AT84" i="13"/>
  <c r="AT29" i="13" s="1"/>
  <c r="AS84" i="13"/>
  <c r="AS29" i="13" s="1"/>
  <c r="AR84" i="13"/>
  <c r="AR29" i="13" s="1"/>
  <c r="AQ84" i="13"/>
  <c r="AQ29" i="13" s="1"/>
  <c r="AP84" i="13"/>
  <c r="AP29" i="13" s="1"/>
  <c r="AO84" i="13"/>
  <c r="AO29" i="13" s="1"/>
  <c r="BA79" i="13"/>
  <c r="BA28" i="13" s="1"/>
  <c r="AZ79" i="13"/>
  <c r="AZ28" i="13" s="1"/>
  <c r="AY79" i="13"/>
  <c r="AY28" i="13" s="1"/>
  <c r="AX79" i="13"/>
  <c r="AX28" i="13" s="1"/>
  <c r="AW79" i="13"/>
  <c r="AV79" i="13"/>
  <c r="AV28" i="13" s="1"/>
  <c r="AU79" i="13"/>
  <c r="AU28" i="13" s="1"/>
  <c r="AT79" i="13"/>
  <c r="AT28" i="13" s="1"/>
  <c r="AS79" i="13"/>
  <c r="AS28" i="13" s="1"/>
  <c r="AR79" i="13"/>
  <c r="AR28" i="13" s="1"/>
  <c r="AQ79" i="13"/>
  <c r="AQ28" i="13" s="1"/>
  <c r="AP79" i="13"/>
  <c r="AP28" i="13" s="1"/>
  <c r="AO79" i="13"/>
  <c r="AO28" i="13" s="1"/>
  <c r="BA74" i="13"/>
  <c r="BA27" i="13" s="1"/>
  <c r="AZ74" i="13"/>
  <c r="AZ27" i="13" s="1"/>
  <c r="AY74" i="13"/>
  <c r="AY27" i="13" s="1"/>
  <c r="AX74" i="13"/>
  <c r="AW74" i="13"/>
  <c r="AW27" i="13" s="1"/>
  <c r="AV74" i="13"/>
  <c r="AV27" i="13" s="1"/>
  <c r="AU74" i="13"/>
  <c r="AU27" i="13" s="1"/>
  <c r="AT74" i="13"/>
  <c r="AS74" i="13"/>
  <c r="AS27" i="13" s="1"/>
  <c r="AR74" i="13"/>
  <c r="AR27" i="13" s="1"/>
  <c r="AQ74" i="13"/>
  <c r="AQ27" i="13" s="1"/>
  <c r="AP74" i="13"/>
  <c r="AP27" i="13" s="1"/>
  <c r="AO74" i="13"/>
  <c r="AO27" i="13" s="1"/>
  <c r="BA63" i="13"/>
  <c r="BA26" i="13" s="1"/>
  <c r="AZ63" i="13"/>
  <c r="AZ26" i="13" s="1"/>
  <c r="AY63" i="13"/>
  <c r="AY26" i="13" s="1"/>
  <c r="AX63" i="13"/>
  <c r="AX26" i="13" s="1"/>
  <c r="AW63" i="13"/>
  <c r="AW26" i="13" s="1"/>
  <c r="AV63" i="13"/>
  <c r="AV26" i="13" s="1"/>
  <c r="AU63" i="13"/>
  <c r="AU26" i="13" s="1"/>
  <c r="AT63" i="13"/>
  <c r="AT26" i="13" s="1"/>
  <c r="AS63" i="13"/>
  <c r="AS26" i="13" s="1"/>
  <c r="AR63" i="13"/>
  <c r="AR26" i="13" s="1"/>
  <c r="AQ63" i="13"/>
  <c r="AP63" i="13"/>
  <c r="AP26" i="13" s="1"/>
  <c r="AO63" i="13"/>
  <c r="AO26" i="13" s="1"/>
  <c r="BA53" i="13"/>
  <c r="BA57" i="13" s="1"/>
  <c r="BA25" i="13" s="1"/>
  <c r="AZ53" i="13"/>
  <c r="AZ57" i="13" s="1"/>
  <c r="AZ25" i="13" s="1"/>
  <c r="AY53" i="13"/>
  <c r="AY57" i="13" s="1"/>
  <c r="AY25" i="13" s="1"/>
  <c r="AX53" i="13"/>
  <c r="AX57" i="13" s="1"/>
  <c r="AX25" i="13" s="1"/>
  <c r="AW53" i="13"/>
  <c r="AW57" i="13" s="1"/>
  <c r="AW25" i="13" s="1"/>
  <c r="AV53" i="13"/>
  <c r="AV57" i="13" s="1"/>
  <c r="AV25" i="13" s="1"/>
  <c r="AU53" i="13"/>
  <c r="AU57" i="13" s="1"/>
  <c r="AU25" i="13" s="1"/>
  <c r="AT53" i="13"/>
  <c r="AT24" i="13" s="1"/>
  <c r="AS53" i="13"/>
  <c r="AS57" i="13" s="1"/>
  <c r="AS25" i="13" s="1"/>
  <c r="AR53" i="13"/>
  <c r="AR57" i="13" s="1"/>
  <c r="AR25" i="13" s="1"/>
  <c r="AQ53" i="13"/>
  <c r="AQ57" i="13" s="1"/>
  <c r="AQ25" i="13" s="1"/>
  <c r="AP53" i="13"/>
  <c r="AP24" i="13" s="1"/>
  <c r="AO53" i="13"/>
  <c r="AO57" i="13" s="1"/>
  <c r="AO25" i="13" s="1"/>
  <c r="BA48" i="13"/>
  <c r="AZ48" i="13"/>
  <c r="AZ23" i="13" s="1"/>
  <c r="AY48" i="13"/>
  <c r="AY23" i="13" s="1"/>
  <c r="AX48" i="13"/>
  <c r="AX23" i="13" s="1"/>
  <c r="AW48" i="13"/>
  <c r="AW23" i="13" s="1"/>
  <c r="AV48" i="13"/>
  <c r="AV23" i="13" s="1"/>
  <c r="AU48" i="13"/>
  <c r="AU23" i="13" s="1"/>
  <c r="AT48" i="13"/>
  <c r="AT23" i="13" s="1"/>
  <c r="AS48" i="13"/>
  <c r="AS23" i="13" s="1"/>
  <c r="AR48" i="13"/>
  <c r="AR23" i="13" s="1"/>
  <c r="AQ48" i="13"/>
  <c r="AQ23" i="13" s="1"/>
  <c r="AP48" i="13"/>
  <c r="AP23" i="13" s="1"/>
  <c r="AO48" i="13"/>
  <c r="AO23" i="13" s="1"/>
  <c r="BA42" i="13"/>
  <c r="BA18" i="13" s="1"/>
  <c r="AZ42" i="13"/>
  <c r="AZ18" i="13" s="1"/>
  <c r="AY42" i="13"/>
  <c r="AY18" i="13" s="1"/>
  <c r="AX42" i="13"/>
  <c r="AX18" i="13" s="1"/>
  <c r="AW42" i="13"/>
  <c r="AW18" i="13" s="1"/>
  <c r="AV42" i="13"/>
  <c r="AV18" i="13" s="1"/>
  <c r="AU42" i="13"/>
  <c r="AU18" i="13" s="1"/>
  <c r="AT42" i="13"/>
  <c r="AS42" i="13"/>
  <c r="AS18" i="13" s="1"/>
  <c r="AR42" i="13"/>
  <c r="AR18" i="13" s="1"/>
  <c r="AQ42" i="13"/>
  <c r="AQ18" i="13" s="1"/>
  <c r="AP42" i="13"/>
  <c r="AP18" i="13" s="1"/>
  <c r="AO42" i="13"/>
  <c r="AO18" i="13" s="1"/>
  <c r="BA36" i="13"/>
  <c r="BA17" i="13" s="1"/>
  <c r="AZ36" i="13"/>
  <c r="AZ17" i="13" s="1"/>
  <c r="AY36" i="13"/>
  <c r="AY17" i="13" s="1"/>
  <c r="AX36" i="13"/>
  <c r="AX17" i="13" s="1"/>
  <c r="AW36" i="13"/>
  <c r="AW17" i="13" s="1"/>
  <c r="AV36" i="13"/>
  <c r="AV17" i="13" s="1"/>
  <c r="AU36" i="13"/>
  <c r="AU17" i="13" s="1"/>
  <c r="AT36" i="13"/>
  <c r="AT17" i="13" s="1"/>
  <c r="AS36" i="13"/>
  <c r="AS17" i="13" s="1"/>
  <c r="AR36" i="13"/>
  <c r="AR17" i="13" s="1"/>
  <c r="AQ36" i="13"/>
  <c r="AQ17" i="13" s="1"/>
  <c r="AP36" i="13"/>
  <c r="AP17" i="13" s="1"/>
  <c r="AO36" i="13"/>
  <c r="AO17" i="13" s="1"/>
  <c r="BA31" i="13"/>
  <c r="AV31" i="13"/>
  <c r="AS31" i="13"/>
  <c r="AV29" i="13"/>
  <c r="AW28" i="13"/>
  <c r="AX27" i="13"/>
  <c r="AT27" i="13"/>
  <c r="AQ26" i="13"/>
  <c r="AR24" i="13"/>
  <c r="BA23" i="13"/>
  <c r="BA20" i="13"/>
  <c r="AY20" i="13"/>
  <c r="AW20" i="13"/>
  <c r="AV20" i="13"/>
  <c r="AU20" i="13"/>
  <c r="AS20" i="13"/>
  <c r="AR20" i="13"/>
  <c r="AQ20" i="13"/>
  <c r="AO20" i="13"/>
  <c r="BA19" i="13"/>
  <c r="AZ19" i="13"/>
  <c r="AX19" i="13"/>
  <c r="AV19" i="13"/>
  <c r="AT19" i="13"/>
  <c r="AR19" i="13"/>
  <c r="AP19" i="13"/>
  <c r="AO19" i="13"/>
  <c r="AT18" i="13"/>
  <c r="AV24" i="13" l="1"/>
  <c r="AZ24" i="13"/>
  <c r="AS24" i="13"/>
  <c r="BA24" i="13"/>
  <c r="BA30" i="13" s="1"/>
  <c r="AO24" i="13"/>
  <c r="AW24" i="13"/>
  <c r="AW30" i="13" s="1"/>
  <c r="AO21" i="13"/>
  <c r="AS21" i="13"/>
  <c r="AW21" i="13"/>
  <c r="BA21" i="13"/>
  <c r="BA13" i="13"/>
  <c r="AW13" i="13"/>
  <c r="AS13" i="13"/>
  <c r="AO13" i="13"/>
  <c r="M13" i="13"/>
  <c r="I13" i="13"/>
  <c r="E13" i="13"/>
  <c r="AT13" i="13"/>
  <c r="N13" i="13"/>
  <c r="J13" i="13"/>
  <c r="AZ13" i="13"/>
  <c r="AV13" i="13"/>
  <c r="AR13" i="13"/>
  <c r="P13" i="13"/>
  <c r="L13" i="13"/>
  <c r="H13" i="13"/>
  <c r="AX13" i="13"/>
  <c r="AP13" i="13"/>
  <c r="F13" i="13"/>
  <c r="AY13" i="13"/>
  <c r="AU13" i="13"/>
  <c r="AQ13" i="13"/>
  <c r="O13" i="13"/>
  <c r="K13" i="13"/>
  <c r="G13" i="13"/>
  <c r="AR21" i="13"/>
  <c r="AR32" i="13" s="1"/>
  <c r="AV21" i="13"/>
  <c r="AV32" i="13" s="1"/>
  <c r="AZ21" i="13"/>
  <c r="AZ32" i="13" s="1"/>
  <c r="AQ24" i="13"/>
  <c r="AQ30" i="13" s="1"/>
  <c r="AU24" i="13"/>
  <c r="AU30" i="13" s="1"/>
  <c r="AY24" i="13"/>
  <c r="AY30" i="13" s="1"/>
  <c r="AT57" i="13"/>
  <c r="AT25" i="13" s="1"/>
  <c r="AT30" i="13" s="1"/>
  <c r="AR30" i="13"/>
  <c r="AV30" i="13"/>
  <c r="AZ30" i="13"/>
  <c r="AP57" i="13"/>
  <c r="AP25" i="13" s="1"/>
  <c r="AP30" i="13" s="1"/>
  <c r="AP21" i="13"/>
  <c r="AP32" i="13" s="1"/>
  <c r="AT21" i="13"/>
  <c r="AT32" i="13" s="1"/>
  <c r="AX21" i="13"/>
  <c r="AQ21" i="13"/>
  <c r="AU21" i="13"/>
  <c r="AY21" i="13"/>
  <c r="AX24" i="13"/>
  <c r="AX30" i="13" s="1"/>
  <c r="AS30" i="13"/>
  <c r="AO30" i="13"/>
  <c r="BA32" i="13" l="1"/>
  <c r="AS32" i="13"/>
  <c r="AW32" i="13"/>
  <c r="BA22" i="13"/>
  <c r="AO32" i="13"/>
  <c r="AU32" i="13"/>
  <c r="AQ32" i="13"/>
  <c r="AY32" i="13"/>
  <c r="AX32" i="13"/>
  <c r="AN118" i="14"/>
  <c r="AM118" i="14"/>
  <c r="AL118" i="14"/>
  <c r="AK118" i="14"/>
  <c r="AJ118" i="14"/>
  <c r="AI118" i="14"/>
  <c r="AH118" i="14"/>
  <c r="AG118" i="14"/>
  <c r="AF118" i="14"/>
  <c r="AE118" i="14"/>
  <c r="AD118" i="14"/>
  <c r="AC118" i="14"/>
  <c r="AN116" i="14"/>
  <c r="AN119" i="14" s="1"/>
  <c r="AM116" i="14"/>
  <c r="AM119" i="14" s="1"/>
  <c r="AL116" i="14"/>
  <c r="AL119" i="14" s="1"/>
  <c r="AK116" i="14"/>
  <c r="AK119" i="14" s="1"/>
  <c r="AJ116" i="14"/>
  <c r="AJ119" i="14" s="1"/>
  <c r="AI116" i="14"/>
  <c r="AI119" i="14" s="1"/>
  <c r="AH116" i="14"/>
  <c r="AH119" i="14" s="1"/>
  <c r="AG116" i="14"/>
  <c r="AG119" i="14" s="1"/>
  <c r="AF116" i="14"/>
  <c r="AF119" i="14" s="1"/>
  <c r="AE116" i="14"/>
  <c r="AE119" i="14" s="1"/>
  <c r="AE120" i="14" s="1"/>
  <c r="AE59" i="14" s="1"/>
  <c r="AD116" i="14"/>
  <c r="AD119" i="14" s="1"/>
  <c r="AD120" i="14" s="1"/>
  <c r="AD59" i="14" s="1"/>
  <c r="AC116" i="14"/>
  <c r="AN101" i="14"/>
  <c r="AM101" i="14"/>
  <c r="AL101" i="14"/>
  <c r="AL102" i="14" s="1"/>
  <c r="AK101" i="14"/>
  <c r="AK102" i="14" s="1"/>
  <c r="AJ101" i="14"/>
  <c r="AI101" i="14"/>
  <c r="AI102" i="14" s="1"/>
  <c r="AH101" i="14"/>
  <c r="AH102" i="14" s="1"/>
  <c r="AG101" i="14"/>
  <c r="AG102" i="14" s="1"/>
  <c r="AF101" i="14"/>
  <c r="AE101" i="14"/>
  <c r="AD101" i="14"/>
  <c r="AD102" i="14" s="1"/>
  <c r="AD103" i="14" s="1"/>
  <c r="AD52" i="14" s="1"/>
  <c r="AC101" i="14"/>
  <c r="AC102" i="14" s="1"/>
  <c r="AC103" i="14" s="1"/>
  <c r="AC52" i="14" s="1"/>
  <c r="AN102" i="14"/>
  <c r="AM102" i="14"/>
  <c r="AJ102" i="14"/>
  <c r="AF102" i="14"/>
  <c r="AE102" i="14"/>
  <c r="AE103" i="14" s="1"/>
  <c r="AE52" i="14" s="1"/>
  <c r="AN42" i="14"/>
  <c r="AM42" i="14"/>
  <c r="AL42" i="14"/>
  <c r="AK42" i="14"/>
  <c r="AJ42" i="14"/>
  <c r="AI42" i="14"/>
  <c r="AH42" i="14"/>
  <c r="AG42" i="14"/>
  <c r="AF42" i="14"/>
  <c r="AE42" i="14"/>
  <c r="AD42" i="14"/>
  <c r="AC42" i="14"/>
  <c r="AN41" i="14"/>
  <c r="AM41" i="14"/>
  <c r="AL41" i="14"/>
  <c r="AK41" i="14"/>
  <c r="AJ41" i="14"/>
  <c r="AI41" i="14"/>
  <c r="AH41" i="14"/>
  <c r="AG41" i="14"/>
  <c r="AF41" i="14"/>
  <c r="AE41" i="14"/>
  <c r="AD41" i="14"/>
  <c r="AC41" i="14"/>
  <c r="AN40" i="14"/>
  <c r="AM40" i="14"/>
  <c r="AL40" i="14"/>
  <c r="AK40" i="14"/>
  <c r="AJ40" i="14"/>
  <c r="AI40" i="14"/>
  <c r="AH40" i="14"/>
  <c r="AG40" i="14"/>
  <c r="AF40" i="14"/>
  <c r="AE40" i="14"/>
  <c r="AD40" i="14"/>
  <c r="AC40" i="14"/>
  <c r="AN39" i="14"/>
  <c r="AM39" i="14"/>
  <c r="AL39" i="14"/>
  <c r="AK39" i="14"/>
  <c r="AJ39" i="14"/>
  <c r="AI39" i="14"/>
  <c r="AH39" i="14"/>
  <c r="AG39" i="14"/>
  <c r="AF39" i="14"/>
  <c r="AE39" i="14"/>
  <c r="AD39" i="14"/>
  <c r="AC39" i="14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N37" i="14"/>
  <c r="AM37" i="14"/>
  <c r="AL37" i="14"/>
  <c r="AK37" i="14"/>
  <c r="AJ37" i="14"/>
  <c r="AI37" i="14"/>
  <c r="AH37" i="14"/>
  <c r="AG37" i="14"/>
  <c r="AF37" i="14"/>
  <c r="AE37" i="14"/>
  <c r="AD37" i="14"/>
  <c r="AC37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N24" i="14"/>
  <c r="AM24" i="14"/>
  <c r="AL24" i="14"/>
  <c r="AK24" i="14"/>
  <c r="AJ24" i="14"/>
  <c r="AI24" i="14"/>
  <c r="AH24" i="14"/>
  <c r="AG24" i="14"/>
  <c r="AF24" i="14"/>
  <c r="AE24" i="14"/>
  <c r="AD24" i="14"/>
  <c r="AC24" i="14"/>
  <c r="AN22" i="14"/>
  <c r="AM22" i="14"/>
  <c r="AL22" i="14"/>
  <c r="AK22" i="14"/>
  <c r="AJ22" i="14"/>
  <c r="AI22" i="14"/>
  <c r="AH22" i="14"/>
  <c r="AG22" i="14"/>
  <c r="AF22" i="14"/>
  <c r="AE22" i="14"/>
  <c r="AD22" i="14"/>
  <c r="AC22" i="14"/>
  <c r="AN21" i="14"/>
  <c r="AM21" i="14"/>
  <c r="AL21" i="14"/>
  <c r="AK21" i="14"/>
  <c r="AJ21" i="14"/>
  <c r="AI21" i="14"/>
  <c r="AH21" i="14"/>
  <c r="AG21" i="14"/>
  <c r="AF21" i="14"/>
  <c r="AE21" i="14"/>
  <c r="AD21" i="14"/>
  <c r="AC21" i="14"/>
  <c r="AN20" i="14"/>
  <c r="AM20" i="14"/>
  <c r="AL20" i="14"/>
  <c r="AK20" i="14"/>
  <c r="AJ20" i="14"/>
  <c r="AI20" i="14"/>
  <c r="AH20" i="14"/>
  <c r="AG20" i="14"/>
  <c r="AF20" i="14"/>
  <c r="AE20" i="14"/>
  <c r="AD20" i="14"/>
  <c r="AC20" i="14"/>
  <c r="AN19" i="14"/>
  <c r="AM19" i="14"/>
  <c r="AL19" i="14"/>
  <c r="AK19" i="14"/>
  <c r="AJ19" i="14"/>
  <c r="AI19" i="14"/>
  <c r="AH19" i="14"/>
  <c r="AG19" i="14"/>
  <c r="AF19" i="14"/>
  <c r="AE19" i="14"/>
  <c r="AD19" i="14"/>
  <c r="AC19" i="14"/>
  <c r="AN18" i="14"/>
  <c r="AM18" i="14"/>
  <c r="AL18" i="14"/>
  <c r="AK18" i="14"/>
  <c r="AJ18" i="14"/>
  <c r="AI18" i="14"/>
  <c r="AH18" i="14"/>
  <c r="AG18" i="14"/>
  <c r="AF18" i="14"/>
  <c r="AE18" i="14"/>
  <c r="AD18" i="14"/>
  <c r="AC18" i="14"/>
  <c r="AN17" i="14"/>
  <c r="AM17" i="14"/>
  <c r="AL17" i="14"/>
  <c r="AK17" i="14"/>
  <c r="AJ17" i="14"/>
  <c r="AI17" i="14"/>
  <c r="AH17" i="14"/>
  <c r="AG17" i="14"/>
  <c r="AF17" i="14"/>
  <c r="AE17" i="14"/>
  <c r="AD17" i="14"/>
  <c r="AC17" i="14"/>
  <c r="AN16" i="14"/>
  <c r="AM16" i="14"/>
  <c r="AM23" i="14" s="1"/>
  <c r="AM28" i="14" s="1"/>
  <c r="AM33" i="14" s="1"/>
  <c r="AM43" i="14" s="1"/>
  <c r="AL16" i="14"/>
  <c r="AK16" i="14"/>
  <c r="AK23" i="14" s="1"/>
  <c r="AK28" i="14" s="1"/>
  <c r="AK33" i="14" s="1"/>
  <c r="AK43" i="14" s="1"/>
  <c r="AJ16" i="14"/>
  <c r="AJ23" i="14" s="1"/>
  <c r="AJ28" i="14" s="1"/>
  <c r="AJ33" i="14" s="1"/>
  <c r="AJ43" i="14" s="1"/>
  <c r="AI16" i="14"/>
  <c r="AH16" i="14"/>
  <c r="AG16" i="14"/>
  <c r="AF16" i="14"/>
  <c r="AF23" i="14" s="1"/>
  <c r="AF28" i="14" s="1"/>
  <c r="AF33" i="14" s="1"/>
  <c r="AF43" i="14" s="1"/>
  <c r="AE16" i="14"/>
  <c r="AE23" i="14" s="1"/>
  <c r="AE28" i="14" s="1"/>
  <c r="AE33" i="14" s="1"/>
  <c r="AE43" i="14" s="1"/>
  <c r="AD16" i="14"/>
  <c r="AD23" i="14" s="1"/>
  <c r="AD28" i="14" s="1"/>
  <c r="AD33" i="14" s="1"/>
  <c r="AC16" i="14"/>
  <c r="AC23" i="14" s="1"/>
  <c r="AI23" i="14" l="1"/>
  <c r="AI28" i="14" s="1"/>
  <c r="AI33" i="14" s="1"/>
  <c r="AI43" i="14" s="1"/>
  <c r="AD58" i="14"/>
  <c r="AE58" i="14"/>
  <c r="AC119" i="14"/>
  <c r="AC120" i="14" s="1"/>
  <c r="AC59" i="14" s="1"/>
  <c r="AC58" i="14" s="1"/>
  <c r="AD43" i="14"/>
  <c r="AL23" i="14"/>
  <c r="AL28" i="14" s="1"/>
  <c r="AL33" i="14" s="1"/>
  <c r="AL43" i="14" s="1"/>
  <c r="AG23" i="14"/>
  <c r="AG28" i="14" s="1"/>
  <c r="AG33" i="14" s="1"/>
  <c r="AG43" i="14" s="1"/>
  <c r="AC28" i="14"/>
  <c r="AC33" i="14" s="1"/>
  <c r="AC43" i="14" s="1"/>
  <c r="AH103" i="14"/>
  <c r="AH52" i="14" s="1"/>
  <c r="AL103" i="14"/>
  <c r="AL52" i="14" s="1"/>
  <c r="AL51" i="14" s="1"/>
  <c r="AH120" i="14"/>
  <c r="AH59" i="14" s="1"/>
  <c r="AH58" i="14" s="1"/>
  <c r="AL120" i="14"/>
  <c r="AL59" i="14" s="1"/>
  <c r="AL58" i="14" s="1"/>
  <c r="AN23" i="14"/>
  <c r="AN28" i="14" s="1"/>
  <c r="AN33" i="14" s="1"/>
  <c r="AN43" i="14" s="1"/>
  <c r="AH23" i="14"/>
  <c r="AH28" i="14" s="1"/>
  <c r="AH33" i="14" s="1"/>
  <c r="AH43" i="14" s="1"/>
  <c r="AI103" i="14"/>
  <c r="AI52" i="14" s="1"/>
  <c r="AI49" i="14" s="1"/>
  <c r="AM103" i="14"/>
  <c r="AM52" i="14" s="1"/>
  <c r="AM49" i="14" s="1"/>
  <c r="AI120" i="14"/>
  <c r="AI59" i="14" s="1"/>
  <c r="AI58" i="14" s="1"/>
  <c r="AM120" i="14"/>
  <c r="AM59" i="14" s="1"/>
  <c r="AM58" i="14" s="1"/>
  <c r="AC49" i="14"/>
  <c r="AC51" i="14"/>
  <c r="AC50" i="14"/>
  <c r="AC48" i="14"/>
  <c r="AG103" i="14"/>
  <c r="AG52" i="14" s="1"/>
  <c r="AK103" i="14"/>
  <c r="AK52" i="14" s="1"/>
  <c r="AG120" i="14"/>
  <c r="AG59" i="14" s="1"/>
  <c r="AG58" i="14" s="1"/>
  <c r="AK120" i="14"/>
  <c r="AK59" i="14" s="1"/>
  <c r="AK58" i="14" s="1"/>
  <c r="AD51" i="14"/>
  <c r="AD50" i="14"/>
  <c r="AD49" i="14"/>
  <c r="AD48" i="14"/>
  <c r="AE51" i="14"/>
  <c r="AE50" i="14"/>
  <c r="AE49" i="14"/>
  <c r="AE48" i="14"/>
  <c r="AF103" i="14"/>
  <c r="AF52" i="14" s="1"/>
  <c r="AJ103" i="14"/>
  <c r="AJ52" i="14" s="1"/>
  <c r="AN103" i="14"/>
  <c r="AN52" i="14" s="1"/>
  <c r="AJ120" i="14"/>
  <c r="AJ59" i="14" s="1"/>
  <c r="AJ58" i="14" s="1"/>
  <c r="AN120" i="14"/>
  <c r="AN59" i="14" s="1"/>
  <c r="AN58" i="14" s="1"/>
  <c r="AC100" i="14"/>
  <c r="AG100" i="14"/>
  <c r="AK100" i="14"/>
  <c r="AC117" i="14"/>
  <c r="AG117" i="14"/>
  <c r="AK117" i="14"/>
  <c r="AD100" i="14"/>
  <c r="AH100" i="14"/>
  <c r="AL100" i="14"/>
  <c r="AD117" i="14"/>
  <c r="AH117" i="14"/>
  <c r="AL117" i="14"/>
  <c r="AE100" i="14"/>
  <c r="AI100" i="14"/>
  <c r="AM100" i="14"/>
  <c r="AE117" i="14"/>
  <c r="AI117" i="14"/>
  <c r="AM117" i="14"/>
  <c r="AF100" i="14"/>
  <c r="AJ100" i="14"/>
  <c r="AN100" i="14"/>
  <c r="AF117" i="14"/>
  <c r="AJ117" i="14"/>
  <c r="AN117" i="14"/>
  <c r="D7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F20" i="14"/>
  <c r="G20" i="14"/>
  <c r="H20" i="14"/>
  <c r="I20" i="14"/>
  <c r="J20" i="14"/>
  <c r="K20" i="14"/>
  <c r="L20" i="14"/>
  <c r="M20" i="14"/>
  <c r="N20" i="14"/>
  <c r="O20" i="14"/>
  <c r="P20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AH51" i="14" l="1"/>
  <c r="AF120" i="14"/>
  <c r="AF59" i="14" s="1"/>
  <c r="AF58" i="14" s="1"/>
  <c r="AH49" i="14"/>
  <c r="AL50" i="14"/>
  <c r="AI48" i="14"/>
  <c r="AI51" i="14"/>
  <c r="AM48" i="14"/>
  <c r="AI50" i="14"/>
  <c r="AH48" i="14"/>
  <c r="AM50" i="14"/>
  <c r="AL49" i="14"/>
  <c r="AL48" i="14"/>
  <c r="AH50" i="14"/>
  <c r="AM51" i="14"/>
  <c r="AN56" i="14"/>
  <c r="AJ56" i="14"/>
  <c r="AF56" i="14"/>
  <c r="AN46" i="14"/>
  <c r="AJ46" i="14"/>
  <c r="AF46" i="14"/>
  <c r="AN14" i="14"/>
  <c r="AI14" i="14"/>
  <c r="AE14" i="14"/>
  <c r="AI56" i="14"/>
  <c r="AL56" i="14"/>
  <c r="AH56" i="14"/>
  <c r="AD56" i="14"/>
  <c r="AL46" i="14"/>
  <c r="AH46" i="14"/>
  <c r="AD46" i="14"/>
  <c r="AL14" i="14"/>
  <c r="AG14" i="14"/>
  <c r="AC14" i="14"/>
  <c r="AK56" i="14"/>
  <c r="AG56" i="14"/>
  <c r="AC56" i="14"/>
  <c r="AK46" i="14"/>
  <c r="AG46" i="14"/>
  <c r="AC46" i="14"/>
  <c r="AJ14" i="14"/>
  <c r="AF14" i="14"/>
  <c r="AK14" i="14"/>
  <c r="AM56" i="14"/>
  <c r="AE56" i="14"/>
  <c r="AM46" i="14"/>
  <c r="AI46" i="14"/>
  <c r="AE46" i="14"/>
  <c r="AM14" i="14"/>
  <c r="AH14" i="14"/>
  <c r="AD14" i="14"/>
  <c r="AN51" i="14"/>
  <c r="AN50" i="14"/>
  <c r="AN49" i="14"/>
  <c r="AN48" i="14"/>
  <c r="AJ51" i="14"/>
  <c r="AJ50" i="14"/>
  <c r="AJ49" i="14"/>
  <c r="AJ48" i="14"/>
  <c r="AK51" i="14"/>
  <c r="AK50" i="14"/>
  <c r="AK49" i="14"/>
  <c r="AK48" i="14"/>
  <c r="AF51" i="14"/>
  <c r="AF50" i="14"/>
  <c r="AF49" i="14"/>
  <c r="AF48" i="14"/>
  <c r="AG51" i="14"/>
  <c r="AG50" i="14"/>
  <c r="AG49" i="14"/>
  <c r="AG48" i="14"/>
  <c r="D6" i="14"/>
  <c r="D5" i="14"/>
  <c r="D1" i="14"/>
  <c r="D4" i="14"/>
  <c r="D2" i="14"/>
  <c r="D3" i="14"/>
  <c r="L23" i="14"/>
  <c r="L28" i="14" s="1"/>
  <c r="L33" i="14" s="1"/>
  <c r="L43" i="14" s="1"/>
  <c r="K23" i="14"/>
  <c r="K28" i="14" s="1"/>
  <c r="K33" i="14" s="1"/>
  <c r="K43" i="14" s="1"/>
  <c r="H23" i="14"/>
  <c r="H28" i="14" s="1"/>
  <c r="H33" i="14" s="1"/>
  <c r="H43" i="14" s="1"/>
  <c r="N23" i="14"/>
  <c r="N28" i="14" s="1"/>
  <c r="N33" i="14" s="1"/>
  <c r="N43" i="14" s="1"/>
  <c r="J23" i="14"/>
  <c r="J28" i="14" s="1"/>
  <c r="J33" i="14" s="1"/>
  <c r="J43" i="14" s="1"/>
  <c r="F23" i="14"/>
  <c r="F28" i="14" s="1"/>
  <c r="F33" i="14" s="1"/>
  <c r="F43" i="14" s="1"/>
  <c r="P23" i="14"/>
  <c r="P28" i="14" s="1"/>
  <c r="P33" i="14" s="1"/>
  <c r="P43" i="14" s="1"/>
  <c r="O23" i="14"/>
  <c r="O28" i="14" s="1"/>
  <c r="O33" i="14" s="1"/>
  <c r="O43" i="14" s="1"/>
  <c r="G23" i="14"/>
  <c r="G28" i="14" s="1"/>
  <c r="G33" i="14" s="1"/>
  <c r="G43" i="14" s="1"/>
  <c r="M23" i="14"/>
  <c r="M28" i="14" s="1"/>
  <c r="M33" i="14" s="1"/>
  <c r="M43" i="14" s="1"/>
  <c r="I23" i="14"/>
  <c r="I28" i="14" s="1"/>
  <c r="I33" i="14" s="1"/>
  <c r="I43" i="14" s="1"/>
  <c r="E23" i="14"/>
  <c r="E28" i="14" s="1"/>
  <c r="E100" i="14"/>
  <c r="F100" i="14"/>
  <c r="G100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E33" i="14" l="1"/>
  <c r="E43" i="14" s="1"/>
  <c r="N100" i="14"/>
  <c r="L102" i="14"/>
  <c r="P100" i="14"/>
  <c r="K102" i="14"/>
  <c r="K100" i="14"/>
  <c r="L100" i="14"/>
  <c r="P102" i="14"/>
  <c r="I100" i="14"/>
  <c r="H102" i="14"/>
  <c r="J102" i="14"/>
  <c r="I102" i="14"/>
  <c r="E102" i="14"/>
  <c r="E103" i="14" s="1"/>
  <c r="E52" i="14" s="1"/>
  <c r="O100" i="14"/>
  <c r="J100" i="14"/>
  <c r="M100" i="14"/>
  <c r="O102" i="14"/>
  <c r="G102" i="14"/>
  <c r="N102" i="14"/>
  <c r="F102" i="14"/>
  <c r="M102" i="14"/>
  <c r="E116" i="14"/>
  <c r="E117" i="14" s="1"/>
  <c r="F116" i="14"/>
  <c r="F117" i="14" s="1"/>
  <c r="G116" i="14"/>
  <c r="G117" i="14" s="1"/>
  <c r="H116" i="14"/>
  <c r="I116" i="14"/>
  <c r="J116" i="14"/>
  <c r="K116" i="14"/>
  <c r="L116" i="14"/>
  <c r="M116" i="14"/>
  <c r="N116" i="14"/>
  <c r="O116" i="14"/>
  <c r="P116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H103" i="14" l="1"/>
  <c r="H52" i="14" s="1"/>
  <c r="H117" i="14"/>
  <c r="N117" i="14"/>
  <c r="J117" i="14"/>
  <c r="O117" i="14"/>
  <c r="K117" i="14"/>
  <c r="J103" i="14"/>
  <c r="J52" i="14" s="1"/>
  <c r="J51" i="14" s="1"/>
  <c r="K103" i="14"/>
  <c r="K52" i="14" s="1"/>
  <c r="K48" i="14" s="1"/>
  <c r="I117" i="14"/>
  <c r="I103" i="14"/>
  <c r="I52" i="14" s="1"/>
  <c r="I50" i="14" s="1"/>
  <c r="P103" i="14"/>
  <c r="P52" i="14" s="1"/>
  <c r="L103" i="14"/>
  <c r="L52" i="14" s="1"/>
  <c r="G103" i="14"/>
  <c r="G52" i="14" s="1"/>
  <c r="M117" i="14"/>
  <c r="F103" i="14"/>
  <c r="F52" i="14" s="1"/>
  <c r="P117" i="14"/>
  <c r="L117" i="14"/>
  <c r="M103" i="14"/>
  <c r="M52" i="14" s="1"/>
  <c r="N103" i="14"/>
  <c r="N52" i="14" s="1"/>
  <c r="O103" i="14"/>
  <c r="O52" i="14" s="1"/>
  <c r="E49" i="14"/>
  <c r="E50" i="14"/>
  <c r="E48" i="14"/>
  <c r="E51" i="14"/>
  <c r="M119" i="14"/>
  <c r="I119" i="14"/>
  <c r="E119" i="14"/>
  <c r="E120" i="14" s="1"/>
  <c r="E59" i="14" s="1"/>
  <c r="E58" i="14" s="1"/>
  <c r="H119" i="14"/>
  <c r="K119" i="14"/>
  <c r="J119" i="14"/>
  <c r="L119" i="14"/>
  <c r="P119" i="14"/>
  <c r="O119" i="14"/>
  <c r="G119" i="14"/>
  <c r="N119" i="14"/>
  <c r="F119" i="14"/>
  <c r="D1" i="13"/>
  <c r="H120" i="14" l="1"/>
  <c r="F49" i="14"/>
  <c r="F48" i="14"/>
  <c r="F51" i="14"/>
  <c r="F50" i="14"/>
  <c r="K49" i="14"/>
  <c r="N48" i="14"/>
  <c r="N49" i="14"/>
  <c r="L120" i="14"/>
  <c r="K50" i="14"/>
  <c r="N51" i="14"/>
  <c r="K120" i="14"/>
  <c r="K59" i="14" s="1"/>
  <c r="K58" i="14" s="1"/>
  <c r="P120" i="14"/>
  <c r="P59" i="14" s="1"/>
  <c r="P58" i="14" s="1"/>
  <c r="N50" i="14"/>
  <c r="K51" i="14"/>
  <c r="H51" i="14"/>
  <c r="H48" i="14"/>
  <c r="M48" i="14"/>
  <c r="M51" i="14"/>
  <c r="M50" i="14"/>
  <c r="M49" i="14"/>
  <c r="O49" i="14"/>
  <c r="O50" i="14"/>
  <c r="O48" i="14"/>
  <c r="O51" i="14"/>
  <c r="G50" i="14"/>
  <c r="G51" i="14"/>
  <c r="G48" i="14"/>
  <c r="G49" i="14"/>
  <c r="L49" i="14"/>
  <c r="L50" i="14"/>
  <c r="L51" i="14"/>
  <c r="L48" i="14"/>
  <c r="F120" i="14"/>
  <c r="F59" i="14" s="1"/>
  <c r="F58" i="14" s="1"/>
  <c r="H59" i="14"/>
  <c r="H58" i="14" s="1"/>
  <c r="H49" i="14"/>
  <c r="G120" i="14"/>
  <c r="G59" i="14" s="1"/>
  <c r="G58" i="14" s="1"/>
  <c r="O120" i="14"/>
  <c r="O59" i="14" s="1"/>
  <c r="O58" i="14" s="1"/>
  <c r="J120" i="14"/>
  <c r="J59" i="14" s="1"/>
  <c r="J58" i="14" s="1"/>
  <c r="I120" i="14"/>
  <c r="I59" i="14" s="1"/>
  <c r="I58" i="14" s="1"/>
  <c r="M120" i="14"/>
  <c r="M59" i="14" s="1"/>
  <c r="M58" i="14" s="1"/>
  <c r="N120" i="14"/>
  <c r="N59" i="14" s="1"/>
  <c r="N58" i="14" s="1"/>
  <c r="H50" i="14"/>
  <c r="L59" i="14"/>
  <c r="L58" i="14" s="1"/>
  <c r="I49" i="14"/>
  <c r="I51" i="14"/>
  <c r="I48" i="14"/>
  <c r="J48" i="14"/>
  <c r="J50" i="14"/>
  <c r="J49" i="14"/>
  <c r="P50" i="14"/>
  <c r="P51" i="14"/>
  <c r="P49" i="14"/>
  <c r="P48" i="14"/>
  <c r="D2" i="13"/>
  <c r="D7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E36" i="13"/>
  <c r="E17" i="13" s="1"/>
  <c r="F36" i="13"/>
  <c r="F17" i="13" s="1"/>
  <c r="G36" i="13"/>
  <c r="G17" i="13" s="1"/>
  <c r="H36" i="13"/>
  <c r="H17" i="13" s="1"/>
  <c r="I36" i="13"/>
  <c r="I17" i="13" s="1"/>
  <c r="J36" i="13"/>
  <c r="J17" i="13" s="1"/>
  <c r="K36" i="13"/>
  <c r="K17" i="13" s="1"/>
  <c r="L36" i="13"/>
  <c r="L17" i="13" s="1"/>
  <c r="M36" i="13"/>
  <c r="M17" i="13" s="1"/>
  <c r="N36" i="13"/>
  <c r="N17" i="13" s="1"/>
  <c r="O36" i="13"/>
  <c r="O17" i="13" s="1"/>
  <c r="P36" i="13"/>
  <c r="P17" i="13" s="1"/>
  <c r="AC36" i="13"/>
  <c r="AC17" i="13" s="1"/>
  <c r="AD36" i="13"/>
  <c r="AD17" i="13" s="1"/>
  <c r="AE36" i="13"/>
  <c r="AE17" i="13" s="1"/>
  <c r="AF36" i="13"/>
  <c r="AF17" i="13" s="1"/>
  <c r="AG36" i="13"/>
  <c r="AG17" i="13" s="1"/>
  <c r="AH36" i="13"/>
  <c r="AH17" i="13" s="1"/>
  <c r="AI36" i="13"/>
  <c r="AI17" i="13" s="1"/>
  <c r="AJ36" i="13"/>
  <c r="AJ17" i="13" s="1"/>
  <c r="AK36" i="13"/>
  <c r="AK17" i="13" s="1"/>
  <c r="AL36" i="13"/>
  <c r="AL17" i="13" s="1"/>
  <c r="AM36" i="13"/>
  <c r="AM17" i="13" s="1"/>
  <c r="AN36" i="13"/>
  <c r="AN17" i="13" s="1"/>
  <c r="D5" i="13" l="1"/>
  <c r="D3" i="13"/>
  <c r="D6" i="13"/>
  <c r="D4" i="13"/>
  <c r="E42" i="13"/>
  <c r="E18" i="13" s="1"/>
  <c r="F42" i="13"/>
  <c r="F18" i="13" s="1"/>
  <c r="G42" i="13"/>
  <c r="G18" i="13" s="1"/>
  <c r="H42" i="13"/>
  <c r="H18" i="13" s="1"/>
  <c r="I42" i="13"/>
  <c r="I18" i="13" s="1"/>
  <c r="J42" i="13"/>
  <c r="J18" i="13" s="1"/>
  <c r="K42" i="13"/>
  <c r="K18" i="13" s="1"/>
  <c r="L42" i="13"/>
  <c r="L18" i="13" s="1"/>
  <c r="M42" i="13"/>
  <c r="M18" i="13" s="1"/>
  <c r="N42" i="13"/>
  <c r="N18" i="13" s="1"/>
  <c r="O42" i="13"/>
  <c r="O18" i="13" s="1"/>
  <c r="P42" i="13"/>
  <c r="P18" i="13" s="1"/>
  <c r="AC42" i="13"/>
  <c r="AC18" i="13" s="1"/>
  <c r="AD42" i="13"/>
  <c r="AD18" i="13" s="1"/>
  <c r="AE42" i="13"/>
  <c r="AE18" i="13" s="1"/>
  <c r="AF42" i="13"/>
  <c r="AF18" i="13" s="1"/>
  <c r="AG42" i="13"/>
  <c r="AG18" i="13" s="1"/>
  <c r="AH42" i="13"/>
  <c r="AH18" i="13" s="1"/>
  <c r="AI42" i="13"/>
  <c r="AI18" i="13" s="1"/>
  <c r="AJ42" i="13"/>
  <c r="AJ18" i="13" s="1"/>
  <c r="AK42" i="13"/>
  <c r="AK18" i="13" s="1"/>
  <c r="AL42" i="13"/>
  <c r="AL18" i="13" s="1"/>
  <c r="AM42" i="13"/>
  <c r="AM18" i="13" s="1"/>
  <c r="AN42" i="13"/>
  <c r="AN18" i="13" s="1"/>
  <c r="E48" i="13" l="1"/>
  <c r="E23" i="13" s="1"/>
  <c r="F48" i="13"/>
  <c r="F23" i="13" s="1"/>
  <c r="G48" i="13"/>
  <c r="G23" i="13" s="1"/>
  <c r="H48" i="13"/>
  <c r="H23" i="13" s="1"/>
  <c r="I48" i="13"/>
  <c r="I23" i="13" s="1"/>
  <c r="J48" i="13"/>
  <c r="J23" i="13" s="1"/>
  <c r="K48" i="13"/>
  <c r="K23" i="13" s="1"/>
  <c r="L48" i="13"/>
  <c r="L23" i="13" s="1"/>
  <c r="M48" i="13"/>
  <c r="M23" i="13" s="1"/>
  <c r="N48" i="13"/>
  <c r="N23" i="13" s="1"/>
  <c r="O48" i="13"/>
  <c r="O23" i="13" s="1"/>
  <c r="P48" i="13"/>
  <c r="P23" i="13" s="1"/>
  <c r="AC48" i="13"/>
  <c r="AC23" i="13" s="1"/>
  <c r="AD48" i="13"/>
  <c r="AD23" i="13" s="1"/>
  <c r="AE48" i="13"/>
  <c r="AE23" i="13" s="1"/>
  <c r="AF48" i="13"/>
  <c r="AF23" i="13" s="1"/>
  <c r="AG48" i="13"/>
  <c r="AG23" i="13" s="1"/>
  <c r="AH48" i="13"/>
  <c r="AH23" i="13" s="1"/>
  <c r="AI48" i="13"/>
  <c r="AI23" i="13" s="1"/>
  <c r="AJ48" i="13"/>
  <c r="AJ23" i="13" s="1"/>
  <c r="AK48" i="13"/>
  <c r="AK23" i="13" s="1"/>
  <c r="AL48" i="13"/>
  <c r="AL23" i="13" s="1"/>
  <c r="AM48" i="13"/>
  <c r="AM23" i="13" s="1"/>
  <c r="AN48" i="13"/>
  <c r="AN23" i="13" s="1"/>
  <c r="E53" i="13"/>
  <c r="E24" i="13" s="1"/>
  <c r="F53" i="13"/>
  <c r="F24" i="13" s="1"/>
  <c r="G53" i="13"/>
  <c r="G24" i="13" s="1"/>
  <c r="H53" i="13"/>
  <c r="H24" i="13" s="1"/>
  <c r="I53" i="13"/>
  <c r="I24" i="13" s="1"/>
  <c r="J53" i="13"/>
  <c r="J24" i="13" s="1"/>
  <c r="K53" i="13"/>
  <c r="K24" i="13" s="1"/>
  <c r="L53" i="13"/>
  <c r="L24" i="13" s="1"/>
  <c r="M53" i="13"/>
  <c r="M24" i="13" s="1"/>
  <c r="N53" i="13"/>
  <c r="N24" i="13" s="1"/>
  <c r="O53" i="13"/>
  <c r="O24" i="13" s="1"/>
  <c r="P53" i="13"/>
  <c r="P24" i="13" s="1"/>
  <c r="AC53" i="13"/>
  <c r="AC24" i="13" s="1"/>
  <c r="AD53" i="13"/>
  <c r="AD24" i="13" s="1"/>
  <c r="AE53" i="13"/>
  <c r="AE24" i="13" s="1"/>
  <c r="AF53" i="13"/>
  <c r="AF24" i="13" s="1"/>
  <c r="AG53" i="13"/>
  <c r="AG24" i="13" s="1"/>
  <c r="AH53" i="13"/>
  <c r="AH24" i="13" s="1"/>
  <c r="AI53" i="13"/>
  <c r="AI24" i="13" s="1"/>
  <c r="AJ53" i="13"/>
  <c r="AJ24" i="13" s="1"/>
  <c r="AK53" i="13"/>
  <c r="AK24" i="13" s="1"/>
  <c r="AL53" i="13"/>
  <c r="AL24" i="13" s="1"/>
  <c r="AM53" i="13"/>
  <c r="AM24" i="13" s="1"/>
  <c r="AN53" i="13"/>
  <c r="AN24" i="13" s="1"/>
  <c r="E57" i="13" l="1"/>
  <c r="E25" i="13" s="1"/>
  <c r="F57" i="13"/>
  <c r="F25" i="13" s="1"/>
  <c r="G57" i="13"/>
  <c r="G25" i="13" s="1"/>
  <c r="H57" i="13"/>
  <c r="H25" i="13" s="1"/>
  <c r="I57" i="13"/>
  <c r="I25" i="13" s="1"/>
  <c r="J57" i="13"/>
  <c r="J25" i="13" s="1"/>
  <c r="K57" i="13"/>
  <c r="K25" i="13" s="1"/>
  <c r="L57" i="13"/>
  <c r="L25" i="13" s="1"/>
  <c r="M57" i="13"/>
  <c r="M25" i="13" s="1"/>
  <c r="N57" i="13"/>
  <c r="N25" i="13" s="1"/>
  <c r="O57" i="13"/>
  <c r="O25" i="13" s="1"/>
  <c r="P57" i="13"/>
  <c r="P25" i="13" s="1"/>
  <c r="AC57" i="13"/>
  <c r="AC25" i="13" s="1"/>
  <c r="AD57" i="13"/>
  <c r="AD25" i="13" s="1"/>
  <c r="AE57" i="13"/>
  <c r="AE25" i="13" s="1"/>
  <c r="AF57" i="13"/>
  <c r="AF25" i="13" s="1"/>
  <c r="AG57" i="13"/>
  <c r="AG25" i="13" s="1"/>
  <c r="AH57" i="13"/>
  <c r="AH25" i="13" s="1"/>
  <c r="AI57" i="13"/>
  <c r="AI25" i="13" s="1"/>
  <c r="AJ57" i="13"/>
  <c r="AJ25" i="13" s="1"/>
  <c r="AK57" i="13"/>
  <c r="AK25" i="13" s="1"/>
  <c r="AL57" i="13"/>
  <c r="AL25" i="13" s="1"/>
  <c r="AM57" i="13"/>
  <c r="AM25" i="13" s="1"/>
  <c r="AN57" i="13"/>
  <c r="AN25" i="13" s="1"/>
  <c r="E63" i="13" l="1"/>
  <c r="E26" i="13" s="1"/>
  <c r="F63" i="13"/>
  <c r="F26" i="13" s="1"/>
  <c r="G63" i="13"/>
  <c r="G26" i="13" s="1"/>
  <c r="H63" i="13"/>
  <c r="H26" i="13" s="1"/>
  <c r="I63" i="13"/>
  <c r="I26" i="13" s="1"/>
  <c r="J63" i="13"/>
  <c r="J26" i="13" s="1"/>
  <c r="K63" i="13"/>
  <c r="K26" i="13" s="1"/>
  <c r="L63" i="13"/>
  <c r="L26" i="13" s="1"/>
  <c r="M63" i="13"/>
  <c r="M26" i="13" s="1"/>
  <c r="N63" i="13"/>
  <c r="N26" i="13" s="1"/>
  <c r="O63" i="13"/>
  <c r="O26" i="13" s="1"/>
  <c r="P63" i="13"/>
  <c r="P26" i="13" s="1"/>
  <c r="AC63" i="13"/>
  <c r="AC26" i="13" s="1"/>
  <c r="AD63" i="13"/>
  <c r="AD26" i="13" s="1"/>
  <c r="AE63" i="13"/>
  <c r="AE26" i="13" s="1"/>
  <c r="AF63" i="13"/>
  <c r="AF26" i="13" s="1"/>
  <c r="AG63" i="13"/>
  <c r="AG26" i="13" s="1"/>
  <c r="AH63" i="13"/>
  <c r="AH26" i="13" s="1"/>
  <c r="AI63" i="13"/>
  <c r="AI26" i="13" s="1"/>
  <c r="AJ63" i="13"/>
  <c r="AJ26" i="13" s="1"/>
  <c r="AK63" i="13"/>
  <c r="AK26" i="13" s="1"/>
  <c r="AL63" i="13"/>
  <c r="AL26" i="13" s="1"/>
  <c r="AM63" i="13"/>
  <c r="AM26" i="13" s="1"/>
  <c r="AN63" i="13"/>
  <c r="AN26" i="13" s="1"/>
  <c r="E74" i="13" l="1"/>
  <c r="E27" i="13" s="1"/>
  <c r="F74" i="13"/>
  <c r="F27" i="13" s="1"/>
  <c r="G74" i="13"/>
  <c r="G27" i="13" s="1"/>
  <c r="H74" i="13"/>
  <c r="H27" i="13" s="1"/>
  <c r="I74" i="13"/>
  <c r="I27" i="13" s="1"/>
  <c r="J74" i="13"/>
  <c r="J27" i="13" s="1"/>
  <c r="K74" i="13"/>
  <c r="K27" i="13" s="1"/>
  <c r="L74" i="13"/>
  <c r="L27" i="13" s="1"/>
  <c r="M74" i="13"/>
  <c r="M27" i="13" s="1"/>
  <c r="N74" i="13"/>
  <c r="N27" i="13" s="1"/>
  <c r="O74" i="13"/>
  <c r="O27" i="13" s="1"/>
  <c r="P74" i="13"/>
  <c r="P27" i="13" s="1"/>
  <c r="AC74" i="13"/>
  <c r="AC27" i="13" s="1"/>
  <c r="AD74" i="13"/>
  <c r="AD27" i="13" s="1"/>
  <c r="AE74" i="13"/>
  <c r="AE27" i="13" s="1"/>
  <c r="AF74" i="13"/>
  <c r="AF27" i="13" s="1"/>
  <c r="AG74" i="13"/>
  <c r="AG27" i="13" s="1"/>
  <c r="AH74" i="13"/>
  <c r="AH27" i="13" s="1"/>
  <c r="AI74" i="13"/>
  <c r="AI27" i="13" s="1"/>
  <c r="AJ74" i="13"/>
  <c r="AJ27" i="13" s="1"/>
  <c r="AK74" i="13"/>
  <c r="AK27" i="13" s="1"/>
  <c r="AL74" i="13"/>
  <c r="AL27" i="13" s="1"/>
  <c r="AM74" i="13"/>
  <c r="AM27" i="13" s="1"/>
  <c r="AN74" i="13"/>
  <c r="AN27" i="13" s="1"/>
  <c r="E79" i="13" l="1"/>
  <c r="E28" i="13" s="1"/>
  <c r="F79" i="13"/>
  <c r="F28" i="13" s="1"/>
  <c r="G79" i="13"/>
  <c r="G28" i="13" s="1"/>
  <c r="H79" i="13"/>
  <c r="H28" i="13" s="1"/>
  <c r="I79" i="13"/>
  <c r="I28" i="13" s="1"/>
  <c r="J79" i="13"/>
  <c r="J28" i="13" s="1"/>
  <c r="K79" i="13"/>
  <c r="K28" i="13" s="1"/>
  <c r="L79" i="13"/>
  <c r="L28" i="13" s="1"/>
  <c r="M79" i="13"/>
  <c r="M28" i="13" s="1"/>
  <c r="N79" i="13"/>
  <c r="N28" i="13" s="1"/>
  <c r="O79" i="13"/>
  <c r="O28" i="13" s="1"/>
  <c r="P79" i="13"/>
  <c r="P28" i="13" s="1"/>
  <c r="AC79" i="13"/>
  <c r="AC28" i="13" s="1"/>
  <c r="AD79" i="13"/>
  <c r="AD28" i="13" s="1"/>
  <c r="AE79" i="13"/>
  <c r="AE28" i="13" s="1"/>
  <c r="AF79" i="13"/>
  <c r="AF28" i="13" s="1"/>
  <c r="AG79" i="13"/>
  <c r="AG28" i="13" s="1"/>
  <c r="AH79" i="13"/>
  <c r="AH28" i="13" s="1"/>
  <c r="AI79" i="13"/>
  <c r="AI28" i="13" s="1"/>
  <c r="AJ79" i="13"/>
  <c r="AJ28" i="13" s="1"/>
  <c r="AK79" i="13"/>
  <c r="AK28" i="13" s="1"/>
  <c r="AL79" i="13"/>
  <c r="AL28" i="13" s="1"/>
  <c r="AM79" i="13"/>
  <c r="AM28" i="13" s="1"/>
  <c r="AN79" i="13"/>
  <c r="AN28" i="13" s="1"/>
  <c r="E84" i="13"/>
  <c r="E29" i="13" s="1"/>
  <c r="F84" i="13"/>
  <c r="F29" i="13" s="1"/>
  <c r="G84" i="13"/>
  <c r="G29" i="13" s="1"/>
  <c r="H84" i="13"/>
  <c r="H29" i="13" s="1"/>
  <c r="I84" i="13"/>
  <c r="I29" i="13" s="1"/>
  <c r="J84" i="13"/>
  <c r="J29" i="13" s="1"/>
  <c r="K84" i="13"/>
  <c r="K29" i="13" s="1"/>
  <c r="L84" i="13"/>
  <c r="L29" i="13" s="1"/>
  <c r="M84" i="13"/>
  <c r="M29" i="13" s="1"/>
  <c r="N84" i="13"/>
  <c r="N29" i="13" s="1"/>
  <c r="O84" i="13"/>
  <c r="O29" i="13" s="1"/>
  <c r="P84" i="13"/>
  <c r="P29" i="13" s="1"/>
  <c r="AC84" i="13"/>
  <c r="AC29" i="13" s="1"/>
  <c r="AD84" i="13"/>
  <c r="AD29" i="13" s="1"/>
  <c r="AE84" i="13"/>
  <c r="AE29" i="13" s="1"/>
  <c r="AF84" i="13"/>
  <c r="AF29" i="13" s="1"/>
  <c r="AG84" i="13"/>
  <c r="AG29" i="13" s="1"/>
  <c r="AH84" i="13"/>
  <c r="AH29" i="13" s="1"/>
  <c r="AI84" i="13"/>
  <c r="AI29" i="13" s="1"/>
  <c r="AJ84" i="13"/>
  <c r="AJ29" i="13" s="1"/>
  <c r="AK84" i="13"/>
  <c r="AK29" i="13" s="1"/>
  <c r="AL84" i="13"/>
  <c r="AL29" i="13" s="1"/>
  <c r="AM84" i="13"/>
  <c r="AM29" i="13" s="1"/>
  <c r="AN84" i="13"/>
  <c r="AN29" i="13" s="1"/>
  <c r="E90" i="13" l="1"/>
  <c r="E31" i="13" s="1"/>
  <c r="E30" i="13" s="1"/>
  <c r="F90" i="13"/>
  <c r="F31" i="13" s="1"/>
  <c r="F30" i="13" s="1"/>
  <c r="G90" i="13"/>
  <c r="G31" i="13" s="1"/>
  <c r="G30" i="13" s="1"/>
  <c r="H90" i="13"/>
  <c r="H31" i="13" s="1"/>
  <c r="H30" i="13" s="1"/>
  <c r="I90" i="13"/>
  <c r="I31" i="13" s="1"/>
  <c r="I30" i="13" s="1"/>
  <c r="J90" i="13"/>
  <c r="J31" i="13" s="1"/>
  <c r="J30" i="13" s="1"/>
  <c r="K90" i="13"/>
  <c r="K31" i="13" s="1"/>
  <c r="K30" i="13" s="1"/>
  <c r="L90" i="13"/>
  <c r="L31" i="13" s="1"/>
  <c r="L30" i="13" s="1"/>
  <c r="M90" i="13"/>
  <c r="M31" i="13" s="1"/>
  <c r="M30" i="13" s="1"/>
  <c r="N90" i="13"/>
  <c r="N31" i="13" s="1"/>
  <c r="N30" i="13" s="1"/>
  <c r="O90" i="13"/>
  <c r="O31" i="13" s="1"/>
  <c r="O30" i="13" s="1"/>
  <c r="P90" i="13"/>
  <c r="P31" i="13" s="1"/>
  <c r="P30" i="13" s="1"/>
  <c r="AC90" i="13"/>
  <c r="AC31" i="13" s="1"/>
  <c r="AC30" i="13" s="1"/>
  <c r="AD90" i="13"/>
  <c r="AD31" i="13" s="1"/>
  <c r="AD30" i="13" s="1"/>
  <c r="AE90" i="13"/>
  <c r="AE31" i="13" s="1"/>
  <c r="AE30" i="13" s="1"/>
  <c r="AF90" i="13"/>
  <c r="AF31" i="13" s="1"/>
  <c r="AF30" i="13" s="1"/>
  <c r="AG90" i="13"/>
  <c r="AG31" i="13" s="1"/>
  <c r="AG30" i="13" s="1"/>
  <c r="AH90" i="13"/>
  <c r="AH31" i="13" s="1"/>
  <c r="AH30" i="13" s="1"/>
  <c r="AI90" i="13"/>
  <c r="AI31" i="13" s="1"/>
  <c r="AI30" i="13" s="1"/>
  <c r="AJ90" i="13"/>
  <c r="AJ31" i="13" s="1"/>
  <c r="AJ30" i="13" s="1"/>
  <c r="AK90" i="13"/>
  <c r="AK31" i="13" s="1"/>
  <c r="AK30" i="13" s="1"/>
  <c r="AL90" i="13"/>
  <c r="AL31" i="13" s="1"/>
  <c r="AL30" i="13" s="1"/>
  <c r="AM90" i="13"/>
  <c r="AM31" i="13" s="1"/>
  <c r="AM30" i="13" s="1"/>
  <c r="AN90" i="13"/>
  <c r="AN31" i="13" s="1"/>
  <c r="AN30" i="13" s="1"/>
  <c r="E97" i="13"/>
  <c r="E19" i="13" s="1"/>
  <c r="F97" i="13"/>
  <c r="F19" i="13" s="1"/>
  <c r="G97" i="13"/>
  <c r="G19" i="13" s="1"/>
  <c r="H97" i="13"/>
  <c r="H19" i="13" s="1"/>
  <c r="I97" i="13"/>
  <c r="I19" i="13" s="1"/>
  <c r="J97" i="13"/>
  <c r="J19" i="13" s="1"/>
  <c r="K97" i="13"/>
  <c r="K19" i="13" s="1"/>
  <c r="L97" i="13"/>
  <c r="L19" i="13" s="1"/>
  <c r="M97" i="13"/>
  <c r="M19" i="13" s="1"/>
  <c r="N97" i="13"/>
  <c r="N19" i="13" s="1"/>
  <c r="O97" i="13"/>
  <c r="O19" i="13" s="1"/>
  <c r="P97" i="13"/>
  <c r="P19" i="13" s="1"/>
  <c r="AC97" i="13"/>
  <c r="AC19" i="13" s="1"/>
  <c r="AD97" i="13"/>
  <c r="AD19" i="13" s="1"/>
  <c r="AE97" i="13"/>
  <c r="AE19" i="13" s="1"/>
  <c r="AF97" i="13"/>
  <c r="AF19" i="13" s="1"/>
  <c r="AG97" i="13"/>
  <c r="AG19" i="13" s="1"/>
  <c r="AH97" i="13"/>
  <c r="AH19" i="13" s="1"/>
  <c r="AI97" i="13"/>
  <c r="AI19" i="13" s="1"/>
  <c r="AJ97" i="13"/>
  <c r="AJ19" i="13" s="1"/>
  <c r="AK97" i="13"/>
  <c r="AK19" i="13" s="1"/>
  <c r="AL97" i="13"/>
  <c r="AL19" i="13" s="1"/>
  <c r="AM97" i="13"/>
  <c r="AM19" i="13" s="1"/>
  <c r="AN97" i="13"/>
  <c r="AN19" i="13" s="1"/>
  <c r="E101" i="13" l="1"/>
  <c r="E20" i="13" s="1"/>
  <c r="E21" i="13" s="1"/>
  <c r="E32" i="13" s="1"/>
  <c r="F101" i="13"/>
  <c r="F20" i="13" s="1"/>
  <c r="F21" i="13" s="1"/>
  <c r="F32" i="13" s="1"/>
  <c r="G101" i="13"/>
  <c r="G20" i="13" s="1"/>
  <c r="G21" i="13" s="1"/>
  <c r="G32" i="13" s="1"/>
  <c r="H101" i="13"/>
  <c r="H20" i="13" s="1"/>
  <c r="H21" i="13" s="1"/>
  <c r="H32" i="13" s="1"/>
  <c r="I101" i="13"/>
  <c r="I20" i="13" s="1"/>
  <c r="I21" i="13" s="1"/>
  <c r="I32" i="13" s="1"/>
  <c r="J101" i="13"/>
  <c r="J20" i="13" s="1"/>
  <c r="J21" i="13" s="1"/>
  <c r="J32" i="13" s="1"/>
  <c r="K101" i="13"/>
  <c r="K20" i="13" s="1"/>
  <c r="K21" i="13" s="1"/>
  <c r="K32" i="13" s="1"/>
  <c r="L101" i="13"/>
  <c r="L20" i="13" s="1"/>
  <c r="L21" i="13" s="1"/>
  <c r="L32" i="13" s="1"/>
  <c r="M101" i="13"/>
  <c r="M20" i="13" s="1"/>
  <c r="M21" i="13" s="1"/>
  <c r="M32" i="13" s="1"/>
  <c r="N101" i="13"/>
  <c r="N20" i="13" s="1"/>
  <c r="N21" i="13" s="1"/>
  <c r="N32" i="13" s="1"/>
  <c r="O101" i="13"/>
  <c r="O20" i="13" s="1"/>
  <c r="O21" i="13" s="1"/>
  <c r="O32" i="13" s="1"/>
  <c r="P101" i="13"/>
  <c r="P20" i="13" s="1"/>
  <c r="P21" i="13" s="1"/>
  <c r="P32" i="13" s="1"/>
  <c r="AC101" i="13"/>
  <c r="AC20" i="13" s="1"/>
  <c r="AC21" i="13" s="1"/>
  <c r="AC32" i="13" s="1"/>
  <c r="AD101" i="13"/>
  <c r="AD20" i="13" s="1"/>
  <c r="AD21" i="13" s="1"/>
  <c r="AD32" i="13" s="1"/>
  <c r="AE101" i="13"/>
  <c r="AE20" i="13" s="1"/>
  <c r="AE21" i="13" s="1"/>
  <c r="AE32" i="13" s="1"/>
  <c r="AF101" i="13"/>
  <c r="AF20" i="13" s="1"/>
  <c r="AF21" i="13" s="1"/>
  <c r="AF32" i="13" s="1"/>
  <c r="AG101" i="13"/>
  <c r="AG20" i="13" s="1"/>
  <c r="AG21" i="13" s="1"/>
  <c r="AG32" i="13" s="1"/>
  <c r="AH101" i="13"/>
  <c r="AH20" i="13" s="1"/>
  <c r="AH21" i="13" s="1"/>
  <c r="AH32" i="13" s="1"/>
  <c r="AI101" i="13"/>
  <c r="AI20" i="13" s="1"/>
  <c r="AI21" i="13" s="1"/>
  <c r="AI32" i="13" s="1"/>
  <c r="AJ101" i="13"/>
  <c r="AJ20" i="13" s="1"/>
  <c r="AJ21" i="13" s="1"/>
  <c r="AJ32" i="13" s="1"/>
  <c r="AK101" i="13"/>
  <c r="AK20" i="13" s="1"/>
  <c r="AK21" i="13" s="1"/>
  <c r="AK32" i="13" s="1"/>
  <c r="AL101" i="13"/>
  <c r="AL20" i="13" s="1"/>
  <c r="AL21" i="13" s="1"/>
  <c r="AL32" i="13" s="1"/>
  <c r="AM101" i="13"/>
  <c r="AM20" i="13" s="1"/>
  <c r="AM21" i="13" s="1"/>
  <c r="AM32" i="13" s="1"/>
  <c r="AN101" i="13"/>
  <c r="AN20" i="13" s="1"/>
  <c r="AN21" i="13" s="1"/>
  <c r="AN32" i="13" s="1"/>
  <c r="B1" i="12" l="1"/>
  <c r="B7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C100" i="12"/>
  <c r="C101" i="12" s="1"/>
  <c r="D100" i="12"/>
  <c r="D101" i="12" s="1"/>
  <c r="E100" i="12"/>
  <c r="E101" i="12" s="1"/>
  <c r="F100" i="12"/>
  <c r="G100" i="12"/>
  <c r="H100" i="12"/>
  <c r="I100" i="12"/>
  <c r="J100" i="12"/>
  <c r="K100" i="12"/>
  <c r="L100" i="12"/>
  <c r="M100" i="12"/>
  <c r="N100" i="12"/>
  <c r="AA100" i="12"/>
  <c r="AA101" i="12" s="1"/>
  <c r="AB100" i="12"/>
  <c r="AB101" i="12" s="1"/>
  <c r="AC100" i="12"/>
  <c r="AD100" i="12"/>
  <c r="AE100" i="12"/>
  <c r="AF100" i="12"/>
  <c r="AG100" i="12"/>
  <c r="AH100" i="12"/>
  <c r="AI100" i="12"/>
  <c r="AJ100" i="12"/>
  <c r="AK100" i="12"/>
  <c r="AL100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AA102" i="12"/>
  <c r="AB102" i="12"/>
  <c r="AC102" i="12"/>
  <c r="AD102" i="12"/>
  <c r="AE102" i="12"/>
  <c r="AF102" i="12"/>
  <c r="AG102" i="12"/>
  <c r="AH102" i="12"/>
  <c r="AI102" i="12"/>
  <c r="AJ102" i="12"/>
  <c r="AK102" i="12"/>
  <c r="AL102" i="12"/>
  <c r="F101" i="12" l="1"/>
  <c r="J103" i="12"/>
  <c r="AJ103" i="12"/>
  <c r="AF103" i="12"/>
  <c r="L103" i="12"/>
  <c r="AI103" i="12"/>
  <c r="F103" i="12"/>
  <c r="N103" i="12"/>
  <c r="AG103" i="12"/>
  <c r="AC103" i="12"/>
  <c r="AC104" i="12" s="1"/>
  <c r="AC49" i="12" s="1"/>
  <c r="AC45" i="12" s="1"/>
  <c r="M103" i="12"/>
  <c r="I103" i="12"/>
  <c r="AL103" i="12"/>
  <c r="AD103" i="12"/>
  <c r="K103" i="12"/>
  <c r="G103" i="12"/>
  <c r="AH101" i="12"/>
  <c r="D21" i="12"/>
  <c r="D23" i="12" s="1"/>
  <c r="G21" i="12"/>
  <c r="G23" i="12" s="1"/>
  <c r="AB103" i="12"/>
  <c r="AB104" i="12" s="1"/>
  <c r="AB49" i="12" s="1"/>
  <c r="AB45" i="12" s="1"/>
  <c r="N101" i="12"/>
  <c r="AA103" i="12"/>
  <c r="AA104" i="12" s="1"/>
  <c r="AA49" i="12" s="1"/>
  <c r="AA45" i="12" s="1"/>
  <c r="AD101" i="12"/>
  <c r="AI21" i="12"/>
  <c r="AI23" i="12" s="1"/>
  <c r="AE21" i="12"/>
  <c r="AE23" i="12" s="1"/>
  <c r="AA21" i="12"/>
  <c r="AA23" i="12" s="1"/>
  <c r="L101" i="12"/>
  <c r="E103" i="12"/>
  <c r="E104" i="12" s="1"/>
  <c r="E49" i="12" s="1"/>
  <c r="E47" i="12" s="1"/>
  <c r="AE101" i="12"/>
  <c r="AC101" i="12"/>
  <c r="AG101" i="12"/>
  <c r="G101" i="12"/>
  <c r="L21" i="12"/>
  <c r="L23" i="12" s="1"/>
  <c r="AH21" i="12"/>
  <c r="AH23" i="12" s="1"/>
  <c r="H101" i="12"/>
  <c r="AH103" i="12"/>
  <c r="AL101" i="12"/>
  <c r="K101" i="12"/>
  <c r="H103" i="12"/>
  <c r="AK101" i="12"/>
  <c r="J101" i="12"/>
  <c r="AI101" i="12"/>
  <c r="H21" i="12"/>
  <c r="H23" i="12" s="1"/>
  <c r="AL21" i="12"/>
  <c r="AL23" i="12" s="1"/>
  <c r="AD21" i="12"/>
  <c r="AD23" i="12" s="1"/>
  <c r="K21" i="12"/>
  <c r="K23" i="12" s="1"/>
  <c r="C21" i="12"/>
  <c r="C23" i="12" s="1"/>
  <c r="B6" i="12"/>
  <c r="B4" i="12"/>
  <c r="B2" i="12"/>
  <c r="B5" i="12"/>
  <c r="B3" i="12"/>
  <c r="AK21" i="12"/>
  <c r="AK23" i="12" s="1"/>
  <c r="AG21" i="12"/>
  <c r="AG23" i="12" s="1"/>
  <c r="AC21" i="12"/>
  <c r="AC23" i="12" s="1"/>
  <c r="N21" i="12"/>
  <c r="N23" i="12" s="1"/>
  <c r="J21" i="12"/>
  <c r="J23" i="12" s="1"/>
  <c r="AK103" i="12"/>
  <c r="AE103" i="12"/>
  <c r="D103" i="12"/>
  <c r="D104" i="12" s="1"/>
  <c r="D49" i="12" s="1"/>
  <c r="D44" i="12" s="1"/>
  <c r="AJ101" i="12"/>
  <c r="AF101" i="12"/>
  <c r="M101" i="12"/>
  <c r="I101" i="12"/>
  <c r="AJ21" i="12"/>
  <c r="AJ23" i="12" s="1"/>
  <c r="AF21" i="12"/>
  <c r="AF23" i="12" s="1"/>
  <c r="AB21" i="12"/>
  <c r="AB23" i="12" s="1"/>
  <c r="M21" i="12"/>
  <c r="M23" i="12" s="1"/>
  <c r="I21" i="12"/>
  <c r="I23" i="12" s="1"/>
  <c r="E21" i="12"/>
  <c r="E23" i="12" s="1"/>
  <c r="C103" i="12"/>
  <c r="C104" i="12" s="1"/>
  <c r="C49" i="12" s="1"/>
  <c r="C47" i="12" s="1"/>
  <c r="F21" i="12"/>
  <c r="F23" i="12" s="1"/>
  <c r="AA48" i="12"/>
  <c r="AA46" i="12"/>
  <c r="C110" i="12"/>
  <c r="C111" i="12" s="1"/>
  <c r="C33" i="12" s="1"/>
  <c r="D110" i="12"/>
  <c r="D111" i="12" s="1"/>
  <c r="D33" i="12" s="1"/>
  <c r="E110" i="12"/>
  <c r="E111" i="12" s="1"/>
  <c r="E33" i="12" s="1"/>
  <c r="F110" i="12"/>
  <c r="G110" i="12"/>
  <c r="H110" i="12"/>
  <c r="I110" i="12"/>
  <c r="J110" i="12"/>
  <c r="K110" i="12"/>
  <c r="L110" i="12"/>
  <c r="M110" i="12"/>
  <c r="N110" i="12"/>
  <c r="AA110" i="12"/>
  <c r="AA111" i="12" s="1"/>
  <c r="AA33" i="12" s="1"/>
  <c r="AB110" i="12"/>
  <c r="AB111" i="12" s="1"/>
  <c r="AB33" i="12" s="1"/>
  <c r="AC110" i="12"/>
  <c r="AC111" i="12" s="1"/>
  <c r="AC33" i="12" s="1"/>
  <c r="AD110" i="12"/>
  <c r="AE110" i="12"/>
  <c r="AF110" i="12"/>
  <c r="AG110" i="12"/>
  <c r="AH110" i="12"/>
  <c r="AI110" i="12"/>
  <c r="AJ110" i="12"/>
  <c r="AK110" i="12"/>
  <c r="AL110" i="12"/>
  <c r="AC44" i="12" l="1"/>
  <c r="AG104" i="12"/>
  <c r="AG49" i="12" s="1"/>
  <c r="AG46" i="12" s="1"/>
  <c r="AC46" i="12"/>
  <c r="AD104" i="12"/>
  <c r="AD49" i="12" s="1"/>
  <c r="AD44" i="12" s="1"/>
  <c r="J104" i="12"/>
  <c r="J49" i="12" s="1"/>
  <c r="J47" i="12" s="1"/>
  <c r="AA47" i="12"/>
  <c r="AA44" i="12"/>
  <c r="AC47" i="12"/>
  <c r="E48" i="12"/>
  <c r="M104" i="12"/>
  <c r="M49" i="12" s="1"/>
  <c r="M47" i="12" s="1"/>
  <c r="I104" i="12"/>
  <c r="I49" i="12" s="1"/>
  <c r="I48" i="12" s="1"/>
  <c r="F104" i="12"/>
  <c r="F49" i="12" s="1"/>
  <c r="F111" i="12"/>
  <c r="F33" i="12" s="1"/>
  <c r="F28" i="12" s="1"/>
  <c r="AL104" i="12"/>
  <c r="AL49" i="12" s="1"/>
  <c r="AL48" i="12" s="1"/>
  <c r="AB47" i="12"/>
  <c r="AI104" i="12"/>
  <c r="AI49" i="12" s="1"/>
  <c r="AI44" i="12" s="1"/>
  <c r="AJ104" i="12"/>
  <c r="AJ49" i="12" s="1"/>
  <c r="AJ47" i="12" s="1"/>
  <c r="AB44" i="12"/>
  <c r="E45" i="12"/>
  <c r="AF104" i="12"/>
  <c r="AF49" i="12" s="1"/>
  <c r="AF44" i="12" s="1"/>
  <c r="H104" i="12"/>
  <c r="H49" i="12" s="1"/>
  <c r="L104" i="12"/>
  <c r="L49" i="12" s="1"/>
  <c r="AB46" i="12"/>
  <c r="E44" i="12"/>
  <c r="AB48" i="12"/>
  <c r="E46" i="12"/>
  <c r="D46" i="12"/>
  <c r="N104" i="12"/>
  <c r="N49" i="12" s="1"/>
  <c r="N48" i="12" s="1"/>
  <c r="D48" i="12"/>
  <c r="AE104" i="12"/>
  <c r="AE49" i="12" s="1"/>
  <c r="AE46" i="12" s="1"/>
  <c r="D45" i="12"/>
  <c r="AD47" i="12"/>
  <c r="AI48" i="12"/>
  <c r="AC48" i="12"/>
  <c r="AL111" i="12"/>
  <c r="AL33" i="12" s="1"/>
  <c r="AL28" i="12" s="1"/>
  <c r="K111" i="12"/>
  <c r="K33" i="12" s="1"/>
  <c r="K28" i="12" s="1"/>
  <c r="D47" i="12"/>
  <c r="K104" i="12"/>
  <c r="K49" i="12" s="1"/>
  <c r="K45" i="12" s="1"/>
  <c r="AG111" i="12"/>
  <c r="AG33" i="12" s="1"/>
  <c r="AG28" i="12" s="1"/>
  <c r="AK104" i="12"/>
  <c r="AK49" i="12" s="1"/>
  <c r="AK44" i="12" s="1"/>
  <c r="AH111" i="12"/>
  <c r="AH33" i="12" s="1"/>
  <c r="AH28" i="12" s="1"/>
  <c r="G111" i="12"/>
  <c r="G33" i="12" s="1"/>
  <c r="G28" i="12" s="1"/>
  <c r="C45" i="12"/>
  <c r="AJ111" i="12"/>
  <c r="AJ33" i="12" s="1"/>
  <c r="AJ28" i="12" s="1"/>
  <c r="I111" i="12"/>
  <c r="I33" i="12" s="1"/>
  <c r="I28" i="12" s="1"/>
  <c r="C48" i="12"/>
  <c r="AD111" i="12"/>
  <c r="AD33" i="12" s="1"/>
  <c r="AK111" i="12"/>
  <c r="AK33" i="12" s="1"/>
  <c r="AK28" i="12" s="1"/>
  <c r="N111" i="12"/>
  <c r="N33" i="12" s="1"/>
  <c r="N28" i="12" s="1"/>
  <c r="M111" i="12"/>
  <c r="M33" i="12" s="1"/>
  <c r="M28" i="12" s="1"/>
  <c r="C46" i="12"/>
  <c r="C44" i="12"/>
  <c r="AH104" i="12"/>
  <c r="AH49" i="12" s="1"/>
  <c r="AF111" i="12"/>
  <c r="AF33" i="12" s="1"/>
  <c r="AF28" i="12" s="1"/>
  <c r="J111" i="12"/>
  <c r="J33" i="12" s="1"/>
  <c r="J28" i="12" s="1"/>
  <c r="AI111" i="12"/>
  <c r="AI33" i="12" s="1"/>
  <c r="AI28" i="12" s="1"/>
  <c r="AE111" i="12"/>
  <c r="AE33" i="12" s="1"/>
  <c r="AE28" i="12" s="1"/>
  <c r="L111" i="12"/>
  <c r="L33" i="12" s="1"/>
  <c r="L28" i="12" s="1"/>
  <c r="H111" i="12"/>
  <c r="H33" i="12" s="1"/>
  <c r="H28" i="12" s="1"/>
  <c r="G104" i="12"/>
  <c r="G49" i="12" s="1"/>
  <c r="AA28" i="12"/>
  <c r="D28" i="12"/>
  <c r="AD28" i="12"/>
  <c r="AB28" i="12"/>
  <c r="E28" i="12"/>
  <c r="J46" i="12"/>
  <c r="J48" i="12"/>
  <c r="J45" i="12"/>
  <c r="AG48" i="12"/>
  <c r="C28" i="12"/>
  <c r="AC28" i="12"/>
  <c r="C119" i="12"/>
  <c r="C120" i="12" s="1"/>
  <c r="C34" i="12" s="1"/>
  <c r="C35" i="12" s="1"/>
  <c r="D119" i="12"/>
  <c r="D120" i="12" s="1"/>
  <c r="D34" i="12" s="1"/>
  <c r="D35" i="12" s="1"/>
  <c r="E119" i="12"/>
  <c r="E120" i="12" s="1"/>
  <c r="E34" i="12" s="1"/>
  <c r="E35" i="12" s="1"/>
  <c r="F119" i="12"/>
  <c r="G119" i="12"/>
  <c r="H119" i="12"/>
  <c r="I119" i="12"/>
  <c r="J119" i="12"/>
  <c r="K119" i="12"/>
  <c r="L119" i="12"/>
  <c r="M119" i="12"/>
  <c r="N119" i="12"/>
  <c r="AA119" i="12"/>
  <c r="AA120" i="12" s="1"/>
  <c r="AA34" i="12" s="1"/>
  <c r="AA35" i="12" s="1"/>
  <c r="AB119" i="12"/>
  <c r="AC119" i="12"/>
  <c r="AC120" i="12" s="1"/>
  <c r="AC34" i="12" s="1"/>
  <c r="AC35" i="12" s="1"/>
  <c r="AD119" i="12"/>
  <c r="AE119" i="12"/>
  <c r="AF119" i="12"/>
  <c r="AG119" i="12"/>
  <c r="AH119" i="12"/>
  <c r="AI119" i="12"/>
  <c r="AJ119" i="12"/>
  <c r="AK119" i="12"/>
  <c r="AL119" i="12"/>
  <c r="I47" i="12" l="1"/>
  <c r="AD45" i="12"/>
  <c r="AD46" i="12"/>
  <c r="AD48" i="12"/>
  <c r="AG44" i="12"/>
  <c r="AG47" i="12"/>
  <c r="J44" i="12"/>
  <c r="AG45" i="12"/>
  <c r="AI47" i="12"/>
  <c r="I46" i="12"/>
  <c r="AI46" i="12"/>
  <c r="AI45" i="12"/>
  <c r="AF46" i="12"/>
  <c r="I45" i="12"/>
  <c r="I44" i="12"/>
  <c r="M44" i="12"/>
  <c r="M46" i="12"/>
  <c r="M48" i="12"/>
  <c r="M45" i="12"/>
  <c r="F44" i="12"/>
  <c r="F45" i="12"/>
  <c r="F46" i="12"/>
  <c r="F47" i="12"/>
  <c r="F48" i="12"/>
  <c r="AL46" i="12"/>
  <c r="F120" i="12"/>
  <c r="F34" i="12" s="1"/>
  <c r="F35" i="12" s="1"/>
  <c r="AF48" i="12"/>
  <c r="AF47" i="12"/>
  <c r="AL45" i="12"/>
  <c r="AL44" i="12"/>
  <c r="AF45" i="12"/>
  <c r="AJ48" i="12"/>
  <c r="AL47" i="12"/>
  <c r="AJ44" i="12"/>
  <c r="AJ46" i="12"/>
  <c r="AJ45" i="12"/>
  <c r="H46" i="12"/>
  <c r="H45" i="12"/>
  <c r="H48" i="12"/>
  <c r="H47" i="12"/>
  <c r="H44" i="12"/>
  <c r="L45" i="12"/>
  <c r="L46" i="12"/>
  <c r="L44" i="12"/>
  <c r="L47" i="12"/>
  <c r="L48" i="12"/>
  <c r="N44" i="12"/>
  <c r="N46" i="12"/>
  <c r="N45" i="12"/>
  <c r="N47" i="12"/>
  <c r="AE47" i="12"/>
  <c r="AE45" i="12"/>
  <c r="AE44" i="12"/>
  <c r="AE48" i="12"/>
  <c r="AK120" i="12"/>
  <c r="AK34" i="12" s="1"/>
  <c r="AK35" i="12" s="1"/>
  <c r="AK30" i="12" s="1"/>
  <c r="AG120" i="12"/>
  <c r="AG34" i="12" s="1"/>
  <c r="AG35" i="12" s="1"/>
  <c r="AG31" i="12" s="1"/>
  <c r="AK45" i="12"/>
  <c r="AK48" i="12"/>
  <c r="AJ120" i="12"/>
  <c r="AJ34" i="12" s="1"/>
  <c r="AJ35" i="12" s="1"/>
  <c r="AJ31" i="12" s="1"/>
  <c r="M120" i="12"/>
  <c r="M34" i="12" s="1"/>
  <c r="M35" i="12" s="1"/>
  <c r="M29" i="12" s="1"/>
  <c r="I120" i="12"/>
  <c r="I34" i="12" s="1"/>
  <c r="I35" i="12" s="1"/>
  <c r="I30" i="12" s="1"/>
  <c r="K46" i="12"/>
  <c r="K47" i="12"/>
  <c r="K44" i="12"/>
  <c r="L120" i="12"/>
  <c r="L34" i="12" s="1"/>
  <c r="L35" i="12" s="1"/>
  <c r="L30" i="12" s="1"/>
  <c r="K48" i="12"/>
  <c r="AK46" i="12"/>
  <c r="AK47" i="12"/>
  <c r="AE120" i="12"/>
  <c r="AE34" i="12" s="1"/>
  <c r="AE35" i="12" s="1"/>
  <c r="AE31" i="12" s="1"/>
  <c r="AB120" i="12"/>
  <c r="AB34" i="12" s="1"/>
  <c r="AB35" i="12" s="1"/>
  <c r="AB29" i="12" s="1"/>
  <c r="H120" i="12"/>
  <c r="H34" i="12" s="1"/>
  <c r="H35" i="12" s="1"/>
  <c r="H29" i="12" s="1"/>
  <c r="N120" i="12"/>
  <c r="N34" i="12" s="1"/>
  <c r="N35" i="12" s="1"/>
  <c r="N30" i="12" s="1"/>
  <c r="J120" i="12"/>
  <c r="J34" i="12" s="1"/>
  <c r="J35" i="12" s="1"/>
  <c r="J29" i="12" s="1"/>
  <c r="AH44" i="12"/>
  <c r="AH48" i="12"/>
  <c r="AH46" i="12"/>
  <c r="AH47" i="12"/>
  <c r="AH45" i="12"/>
  <c r="AI120" i="12"/>
  <c r="AI34" i="12" s="1"/>
  <c r="AI35" i="12" s="1"/>
  <c r="AI29" i="12" s="1"/>
  <c r="AF120" i="12"/>
  <c r="AF34" i="12" s="1"/>
  <c r="AF35" i="12" s="1"/>
  <c r="AF30" i="12" s="1"/>
  <c r="AL120" i="12"/>
  <c r="AL34" i="12" s="1"/>
  <c r="AL35" i="12" s="1"/>
  <c r="AL30" i="12" s="1"/>
  <c r="AH120" i="12"/>
  <c r="AH34" i="12" s="1"/>
  <c r="AH35" i="12" s="1"/>
  <c r="AH31" i="12" s="1"/>
  <c r="AD120" i="12"/>
  <c r="AD34" i="12" s="1"/>
  <c r="AD35" i="12" s="1"/>
  <c r="AD30" i="12" s="1"/>
  <c r="K120" i="12"/>
  <c r="K34" i="12" s="1"/>
  <c r="K35" i="12" s="1"/>
  <c r="K31" i="12" s="1"/>
  <c r="G120" i="12"/>
  <c r="G34" i="12" s="1"/>
  <c r="G35" i="12" s="1"/>
  <c r="G30" i="12" s="1"/>
  <c r="G47" i="12"/>
  <c r="G44" i="12"/>
  <c r="G45" i="12"/>
  <c r="G48" i="12"/>
  <c r="G46" i="12"/>
  <c r="AC29" i="12"/>
  <c r="AC30" i="12"/>
  <c r="AC31" i="12"/>
  <c r="C31" i="12"/>
  <c r="C29" i="12"/>
  <c r="C30" i="12"/>
  <c r="AA30" i="12"/>
  <c r="AA29" i="12"/>
  <c r="AA31" i="12"/>
  <c r="E29" i="12"/>
  <c r="E31" i="12"/>
  <c r="E30" i="12"/>
  <c r="D30" i="12"/>
  <c r="D29" i="12"/>
  <c r="D31" i="12"/>
  <c r="F31" i="12" l="1"/>
  <c r="F29" i="12"/>
  <c r="F30" i="12"/>
  <c r="AG30" i="12"/>
  <c r="M30" i="12"/>
  <c r="AG29" i="12"/>
  <c r="I29" i="12"/>
  <c r="AK29" i="12"/>
  <c r="AJ30" i="12"/>
  <c r="L29" i="12"/>
  <c r="M31" i="12"/>
  <c r="L31" i="12"/>
  <c r="K29" i="12"/>
  <c r="AD31" i="12"/>
  <c r="N31" i="12"/>
  <c r="I31" i="12"/>
  <c r="AI30" i="12"/>
  <c r="AJ29" i="12"/>
  <c r="AK31" i="12"/>
  <c r="H31" i="12"/>
  <c r="N29" i="12"/>
  <c r="J30" i="12"/>
  <c r="AF31" i="12"/>
  <c r="AB31" i="12"/>
  <c r="AE30" i="12"/>
  <c r="AD29" i="12"/>
  <c r="AI31" i="12"/>
  <c r="K30" i="12"/>
  <c r="J31" i="12"/>
  <c r="AF29" i="12"/>
  <c r="AB30" i="12"/>
  <c r="AC32" i="12"/>
  <c r="AL31" i="12"/>
  <c r="AE29" i="12"/>
  <c r="G31" i="12"/>
  <c r="D32" i="12"/>
  <c r="AH30" i="12"/>
  <c r="H30" i="12"/>
  <c r="C32" i="12"/>
  <c r="AA32" i="12"/>
  <c r="G29" i="12"/>
  <c r="AL29" i="12"/>
  <c r="AH29" i="12"/>
  <c r="E32" i="12"/>
  <c r="L32" i="12" l="1"/>
  <c r="AG32" i="12"/>
  <c r="F32" i="12"/>
  <c r="I32" i="12"/>
  <c r="M32" i="12"/>
  <c r="AK32" i="12"/>
  <c r="AJ32" i="12"/>
  <c r="AI32" i="12"/>
  <c r="AF32" i="12"/>
  <c r="K32" i="12"/>
  <c r="AD32" i="12"/>
  <c r="AE32" i="12"/>
  <c r="AL32" i="12"/>
  <c r="H32" i="12"/>
  <c r="N32" i="12"/>
  <c r="J32" i="12"/>
  <c r="AB32" i="12"/>
  <c r="AH32" i="12"/>
  <c r="G32" i="12"/>
</calcChain>
</file>

<file path=xl/comments1.xml><?xml version="1.0" encoding="utf-8"?>
<comments xmlns="http://schemas.openxmlformats.org/spreadsheetml/2006/main">
  <authors>
    <author>Caroline JOLY</author>
  </authors>
  <commentList>
    <comment ref="AP36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April 2012 : days still based on 4 months ( no full closing for jan 2012)
Next year : we will provide a new template based on 3 months for 2013
</t>
        </r>
      </text>
    </comment>
    <comment ref="AV36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Oct 2012 : because july 2012 full closing, we can get days for 3 months</t>
        </r>
      </text>
    </comment>
    <comment ref="AP50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April 2012 : days still based on 4 months ( no full closing for jan 2012)
Next year : we will provide a new template based on 3 months for 2013
</t>
        </r>
      </text>
    </comment>
    <comment ref="AV50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Oct 2012 : because july 2012 full closing, we can get days for 3 months</t>
        </r>
      </text>
    </comment>
  </commentList>
</comments>
</file>

<file path=xl/comments2.xml><?xml version="1.0" encoding="utf-8"?>
<comments xmlns="http://schemas.openxmlformats.org/spreadsheetml/2006/main">
  <authors>
    <author>Caroline JOLY</author>
  </authors>
  <commentList>
    <comment ref="AR53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April 2012 : days still based on 4 months ( no full closing for jan 2012)
Next year : we will provide a new template based on 3 months for 2013
</t>
        </r>
      </text>
    </comment>
    <comment ref="AX53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Oct 2012 : because july 2012 full closing, we can get days for 3 months</t>
        </r>
      </text>
    </comment>
    <comment ref="AR60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April 2012 : days still based on 4 months ( no full closing for jan 2012)
Next year : we will provide a new template based on 3 months for 2013
</t>
        </r>
      </text>
    </comment>
    <comment ref="AX60" authorId="0">
      <text>
        <r>
          <rPr>
            <b/>
            <sz val="8"/>
            <color indexed="81"/>
            <rFont val="Tahoma"/>
            <family val="2"/>
          </rPr>
          <t>Caroline JOLY:</t>
        </r>
        <r>
          <rPr>
            <sz val="8"/>
            <color indexed="81"/>
            <rFont val="Tahoma"/>
            <family val="2"/>
          </rPr>
          <t xml:space="preserve">
Oct 2012 : because july 2012 full closing, we can get days for 3 months</t>
        </r>
      </text>
    </comment>
  </commentList>
</comments>
</file>

<file path=xl/sharedStrings.xml><?xml version="1.0" encoding="utf-8"?>
<sst xmlns="http://schemas.openxmlformats.org/spreadsheetml/2006/main" count="510" uniqueCount="146">
  <si>
    <t>Mesure</t>
  </si>
  <si>
    <t>Version</t>
  </si>
  <si>
    <t>Eliminations</t>
  </si>
  <si>
    <t>Unit</t>
  </si>
  <si>
    <t>Variant</t>
  </si>
  <si>
    <t>Period</t>
  </si>
  <si>
    <t/>
  </si>
  <si>
    <t>Actual</t>
  </si>
  <si>
    <t>Fcast (FC)</t>
  </si>
  <si>
    <t>Budget</t>
  </si>
  <si>
    <t xml:space="preserve"> R06+R15+R07+R08 Period </t>
  </si>
  <si>
    <t xml:space="preserve"> R06+R15+R07+R08 Cum</t>
  </si>
  <si>
    <t>Purchase Period</t>
  </si>
  <si>
    <t>Purchase Cum</t>
  </si>
  <si>
    <t>TO Period ( with vat )</t>
  </si>
  <si>
    <t>TO Cum ( with vat )</t>
  </si>
  <si>
    <t>Vat average rate</t>
  </si>
  <si>
    <t>TO Period ( without vat )</t>
  </si>
  <si>
    <t>TO Cum ( without vat )</t>
  </si>
  <si>
    <t>Number of months included</t>
  </si>
  <si>
    <t>*Period Net Sales with vat</t>
  </si>
  <si>
    <t>Net Inventory, D.O.S*</t>
  </si>
  <si>
    <t>Net Finished Products, D.O.S*</t>
  </si>
  <si>
    <t>Net Work in progress, D.O.S*</t>
  </si>
  <si>
    <t>Net Semi-Finished Products, D.O.S*</t>
  </si>
  <si>
    <t>Net Raw Material, D.O.S*</t>
  </si>
  <si>
    <t>Fcast (F3)</t>
  </si>
  <si>
    <t>Inventory in Days of Sales with vat</t>
  </si>
  <si>
    <t>( *** ) Sum of above</t>
  </si>
  <si>
    <t>(** ) Stock / ( RM consumed R04 + PL for R06+R07+R08+R15 ) last 3 months*4/365 )</t>
  </si>
  <si>
    <t>( * ) Stock / ( RM consumed R04 last 3 months*4/365 )</t>
  </si>
  <si>
    <t>Total</t>
  </si>
  <si>
    <t>Period lines ( R06+R15+R07+R08 )</t>
  </si>
  <si>
    <t>Period Raw Material consumed</t>
  </si>
  <si>
    <t>Net Inventory, Lead-Time  D.O.C ( *** )</t>
  </si>
  <si>
    <t>Net Finished Products, D.O.C ( ** )</t>
  </si>
  <si>
    <t>Net Work in progress, D.O.C (** )</t>
  </si>
  <si>
    <t>Net Semi-Finished Products, D.O.C (** )</t>
  </si>
  <si>
    <t>Net Raw Material, D.O.C ( * )</t>
  </si>
  <si>
    <t>Inventory in Days of  Consumption</t>
  </si>
  <si>
    <t>GROSS Inventory</t>
  </si>
  <si>
    <t>Included Accruals on inventories (obsol…)</t>
  </si>
  <si>
    <t>NET  Inventory</t>
  </si>
  <si>
    <t>Net Trading &amp; Finished Products</t>
  </si>
  <si>
    <t>Net Work in Progr.at customers' premises</t>
  </si>
  <si>
    <t>Net Semi-Finished Products</t>
  </si>
  <si>
    <t>Net Raw Material</t>
  </si>
  <si>
    <t>Inventory in value</t>
  </si>
  <si>
    <t>INVENTORY</t>
  </si>
  <si>
    <t>Non Trade WCR</t>
  </si>
  <si>
    <t>Trade WCR</t>
  </si>
  <si>
    <t>Treasury ( attention signe , à mettre ds ss contraire )</t>
  </si>
  <si>
    <t>LEASING</t>
  </si>
  <si>
    <t>Revolv</t>
  </si>
  <si>
    <t>LBO lines</t>
  </si>
  <si>
    <t>Factoring &amp; discounted notesHierarchy</t>
  </si>
  <si>
    <t xml:space="preserve"> Net Debt Intercos</t>
  </si>
  <si>
    <t xml:space="preserve"> Net Debt</t>
  </si>
  <si>
    <t xml:space="preserve"> Equity  (PRC)</t>
  </si>
  <si>
    <t>ST NET INTANGIBLE &amp; FINANCIAL  ASSET :</t>
  </si>
  <si>
    <t>ST NET TANGIBLE  ASSET :</t>
  </si>
  <si>
    <t>Contrôle ( should be 0 ) :</t>
  </si>
  <si>
    <t xml:space="preserve">  =&gt; ( + ) Treasury </t>
  </si>
  <si>
    <t xml:space="preserve">  =&gt; ( - ) Other external loans </t>
  </si>
  <si>
    <t xml:space="preserve">  =&gt; ( - ) Leasing</t>
  </si>
  <si>
    <t xml:space="preserve">  =&gt; ( - ) Revolving</t>
  </si>
  <si>
    <t xml:space="preserve">  =&gt; ( - ) LT LBO lines ( Senior, Mezz., Capex )</t>
  </si>
  <si>
    <t xml:space="preserve">  =&gt; ( - ) factoring , discounted notes</t>
  </si>
  <si>
    <t xml:space="preserve">  =&gt; + / -intra-group loan   + / -   internal ST financing ( Current-Accounts )  + Net Shares</t>
  </si>
  <si>
    <t>(7)=(5)-(6) NET DEBT    (reporting definition)</t>
  </si>
  <si>
    <t>(6) Equity  ( PRC incl. )</t>
  </si>
  <si>
    <t>Var Capital Employed FC - AC at 31/12/12 :</t>
  </si>
  <si>
    <t>(5)=(1)+(2)+(3)+(4) CAPITAL EMPLOYED</t>
  </si>
  <si>
    <t>(4) Non Trade  Working Capital</t>
  </si>
  <si>
    <t>(3) Trade Working Capital</t>
  </si>
  <si>
    <t>(2) Net Intangibles &amp; Financial Assets</t>
  </si>
  <si>
    <t>(1) Net Tangible Assets</t>
  </si>
  <si>
    <t>SUMMARIZED BALANCE SHEET</t>
  </si>
  <si>
    <t>Achats Period ( with vat )</t>
  </si>
  <si>
    <t>Achats Cum ( with vat )</t>
  </si>
  <si>
    <t>Achats Period ( without vat )</t>
  </si>
  <si>
    <t>Achat  Cum ( without vat )</t>
  </si>
  <si>
    <t>Number of months incl.</t>
  </si>
  <si>
    <t>Purchase with vat</t>
  </si>
  <si>
    <t>Current Payables, D.O.P</t>
  </si>
  <si>
    <t>KPI for Suppliers</t>
  </si>
  <si>
    <t>Trade Working Capital, D.O.S*</t>
  </si>
  <si>
    <t>Current Payables, D.O.S*</t>
  </si>
  <si>
    <t>Current Receivables, D.O.S*</t>
  </si>
  <si>
    <t>Net Inventories, D.O.S*</t>
  </si>
  <si>
    <t>Trade WCR in Days of Sales with vat</t>
  </si>
  <si>
    <t>Total WCR adjusted ( covenants )</t>
  </si>
  <si>
    <t>=</t>
  </si>
  <si>
    <t>Liability C/A for Tax Conso.</t>
  </si>
  <si>
    <t xml:space="preserve"> + </t>
  </si>
  <si>
    <t>Income tax to be paid</t>
  </si>
  <si>
    <t>P.S 5 years &amp; Acc. Interests</t>
  </si>
  <si>
    <t>+</t>
  </si>
  <si>
    <t>Asset C/A for Tax Conso.</t>
  </si>
  <si>
    <t xml:space="preserve"> - </t>
  </si>
  <si>
    <t>Income tax Prepayments</t>
  </si>
  <si>
    <t>Capitalized Fees</t>
  </si>
  <si>
    <t>Provisions / Other Receiv.</t>
  </si>
  <si>
    <t>Provisions / Trade Receiv.</t>
  </si>
  <si>
    <t>Provisions / Inventories</t>
  </si>
  <si>
    <t>Total WCR</t>
  </si>
  <si>
    <t>Total adjusted Working capital calculation ( &gt; COVENANTS )</t>
  </si>
  <si>
    <t>( ** )   Yongguan</t>
  </si>
  <si>
    <t>( * ) external datas only</t>
  </si>
  <si>
    <t>Total Working Capital</t>
  </si>
  <si>
    <t xml:space="preserve"> = </t>
  </si>
  <si>
    <t>Interco</t>
  </si>
  <si>
    <t xml:space="preserve">Other Payables </t>
  </si>
  <si>
    <t>Interco (** )</t>
  </si>
  <si>
    <t xml:space="preserve">Other Receivables </t>
  </si>
  <si>
    <t>Trade Working Capital</t>
  </si>
  <si>
    <t xml:space="preserve"> Interco</t>
  </si>
  <si>
    <t xml:space="preserve">Current Payables </t>
  </si>
  <si>
    <t>Accrued Invoices (*)</t>
  </si>
  <si>
    <t>Overdues total ( * )</t>
  </si>
  <si>
    <t xml:space="preserve">Current Receivables </t>
  </si>
  <si>
    <t xml:space="preserve">Net Inventories </t>
  </si>
  <si>
    <t xml:space="preserve">WORKING CAPITAL </t>
  </si>
  <si>
    <t xml:space="preserve">FOR CASH FLOWS ---&gt; USE BFC REPORT CB042-C </t>
  </si>
  <si>
    <t xml:space="preserve"> - copy all 12 sheets, altogether ( very important ) , in a new file</t>
  </si>
  <si>
    <t>In case this schedule becomes "damaged " ( there is a SAP ongoing analysis ) :</t>
  </si>
  <si>
    <t xml:space="preserve"> - go in "SOMMAIRE " sheet</t>
  </si>
  <si>
    <t xml:space="preserve">VE </t>
  </si>
  <si>
    <t>M</t>
  </si>
  <si>
    <t xml:space="preserve"> P</t>
  </si>
  <si>
    <t xml:space="preserve"> U</t>
  </si>
  <si>
    <t>VA</t>
  </si>
  <si>
    <t>ELI</t>
  </si>
  <si>
    <t>for Eliminations</t>
  </si>
  <si>
    <t>For Mesure</t>
  </si>
  <si>
    <t>For Period</t>
  </si>
  <si>
    <t>For Unit</t>
  </si>
  <si>
    <t>For Variant</t>
  </si>
  <si>
    <t>For Version</t>
  </si>
  <si>
    <t>( explanation : when  copying an analytics file with a " Sommaire ", the link to  definition of cell names from original file  is maintained --&gt; there is a  need for update)</t>
  </si>
  <si>
    <t>Otherwise pls  ask  CONSOLIDATION Department  to get new version</t>
  </si>
  <si>
    <t xml:space="preserve"> - in menu " Formulas / Name Manager " update cells :  ELI / M / P / U / VA / VE  ( only ) :</t>
  </si>
  <si>
    <t>( example below )</t>
  </si>
  <si>
    <t>TIME NEEDED FOR REFRESH = 2 MINUTES</t>
  </si>
  <si>
    <t>do not change period</t>
  </si>
  <si>
    <t>RF1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</si>
</sst>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##0_);[Red]\(###0\)"/>
    <numFmt numFmtId="165" formatCode="_-* #,##0.0000_-;\-* #,##0.0000_-;_-* &quot;-&quot;??_-;_-@_-"/>
    <numFmt numFmtId="166" formatCode="_-* #,##0\ &quot;F&quot;_-;\-* #,##0\ &quot;F&quot;_-;_-* &quot;-&quot;\ &quot;F&quot;_-;_-@_-"/>
    <numFmt numFmtId="167" formatCode="_-* #,##0\ _F_-;\-* #,##0\ _F_-;_-* &quot;-&quot;\ _F_-;_-@_-"/>
    <numFmt numFmtId="168" formatCode="_-* #,##0.00\ _F_-;\-* #,##0.00\ _F_-;_-* &quot;-&quot;??\ _F_-;_-@_-"/>
    <numFmt numFmtId="169" formatCode="_-* #,##0.00\ &quot;F&quot;_-;\-* #,##0.00\ &quot;F&quot;_-;_-* &quot;-&quot;??\ &quot;F&quot;_-;_-@_-"/>
    <numFmt numFmtId="170" formatCode="0.00_)"/>
    <numFmt numFmtId="171" formatCode="_-* #,##0.00\ &quot;Pts&quot;_-;\-* #,##0.00\ &quot;Pts&quot;_-;_-* &quot;-&quot;??\ &quot;Pts&quot;_-;_-@_-"/>
    <numFmt numFmtId="172" formatCode="#,##0&quot;£&quot;_);[Red]\(#,##0&quot;£&quot;\)"/>
    <numFmt numFmtId="173" formatCode="_(* #,##0.00_);_(* \(#,##0.00\);_(* &quot;-&quot;??_);_(@_)"/>
    <numFmt numFmtId="174" formatCode="_-* #,##0.00_-;\-* #,##0.00_-;_-* &quot;-&quot;??_-;_-@_-"/>
    <numFmt numFmtId="175" formatCode="_(* #,##0_);_(* \(#,##0\);_(* &quot;-&quot;_);_(@_)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.000_ ;\-#,##0.000\ "/>
    <numFmt numFmtId="179" formatCode="#,##0.0"/>
    <numFmt numFmtId="180" formatCode="#,##0;\(#,##0\)"/>
    <numFmt numFmtId="181" formatCode="_-* #,##0\ _€_-;\-* #,##0\ _€_-;_-* &quot;-&quot;??\ _€_-;_-@_-"/>
    <numFmt numFmtId="182" formatCode="#,##0,;\ \(\ #,##0\)"/>
    <numFmt numFmtId="183" formatCode="#,##0.0;\(#,##0.0\)"/>
    <numFmt numFmtId="184" formatCode="#,##0.0;\ \(#,##0.0\)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0"/>
      <color indexed="25"/>
      <name val="Arial Narrow"/>
      <family val="2"/>
    </font>
    <font>
      <sz val="10"/>
      <name val="Arial Narrow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Times New Roman"/>
      <family val="1"/>
    </font>
    <font>
      <sz val="11"/>
      <color indexed="52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  <family val="2"/>
    </font>
    <font>
      <sz val="10"/>
      <name val="Helv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Cambria"/>
      <family val="2"/>
    </font>
    <font>
      <sz val="8"/>
      <color indexed="10"/>
      <name val="Arial Narrow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sz val="12"/>
      <color indexed="8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12"/>
      <name val="Calibri"/>
      <family val="2"/>
    </font>
    <font>
      <b/>
      <sz val="12"/>
      <color indexed="8"/>
      <name val="Calibri"/>
      <family val="2"/>
    </font>
    <font>
      <u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4"/>
      <color indexed="8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name val="Calibri"/>
      <family val="2"/>
      <scheme val="minor"/>
    </font>
    <font>
      <sz val="14"/>
      <color indexed="8"/>
      <name val="Calibri"/>
      <family val="2"/>
    </font>
    <font>
      <b/>
      <sz val="14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i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i/>
      <sz val="1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5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8" fillId="0" borderId="7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3" borderId="0" applyNumberFormat="0" applyBorder="0" applyAlignment="0" applyProtection="0"/>
    <xf numFmtId="164" fontId="5" fillId="0" borderId="0" applyFill="0" applyBorder="0" applyAlignment="0"/>
    <xf numFmtId="0" fontId="12" fillId="16" borderId="8" applyNumberFormat="0" applyAlignment="0" applyProtection="0"/>
    <xf numFmtId="0" fontId="13" fillId="17" borderId="9" applyNumberFormat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14" fillId="0" borderId="0" applyNumberFormat="0" applyAlignment="0">
      <alignment horizontal="left"/>
    </xf>
    <xf numFmtId="0" fontId="15" fillId="0" borderId="0" applyNumberFormat="0" applyAlignment="0">
      <alignment horizontal="left"/>
    </xf>
    <xf numFmtId="4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6" fontId="17" fillId="0" borderId="10">
      <alignment horizontal="left"/>
    </xf>
    <xf numFmtId="166" fontId="17" fillId="0" borderId="10">
      <alignment horizontal="left"/>
    </xf>
    <xf numFmtId="166" fontId="17" fillId="0" borderId="10">
      <alignment horizontal="left"/>
    </xf>
    <xf numFmtId="0" fontId="18" fillId="0" borderId="0" applyFill="0" applyBorder="0">
      <alignment horizontal="left" vertical="top" wrapText="1"/>
    </xf>
    <xf numFmtId="0" fontId="19" fillId="4" borderId="0" applyNumberFormat="0" applyBorder="0" applyAlignment="0" applyProtection="0"/>
    <xf numFmtId="38" fontId="20" fillId="18" borderId="0" applyNumberFormat="0" applyBorder="0" applyAlignment="0" applyProtection="0"/>
    <xf numFmtId="0" fontId="21" fillId="0" borderId="11" applyNumberFormat="0" applyAlignment="0" applyProtection="0">
      <alignment horizontal="left" vertical="center"/>
    </xf>
    <xf numFmtId="0" fontId="21" fillId="0" borderId="12">
      <alignment horizontal="left" vertical="center"/>
    </xf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10" fontId="20" fillId="19" borderId="16" applyNumberFormat="0" applyBorder="0" applyAlignment="0" applyProtection="0"/>
    <xf numFmtId="0" fontId="25" fillId="7" borderId="8" applyNumberFormat="0" applyAlignment="0" applyProtection="0"/>
    <xf numFmtId="0" fontId="26" fillId="0" borderId="0" applyNumberFormat="0" applyFont="0" applyFill="0" applyBorder="0" applyProtection="0">
      <alignment horizontal="left" vertical="center"/>
    </xf>
    <xf numFmtId="0" fontId="27" fillId="0" borderId="17" applyNumberFormat="0" applyFill="0" applyAlignment="0" applyProtection="0"/>
    <xf numFmtId="0" fontId="28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9" fillId="20" borderId="0" applyNumberFormat="0" applyBorder="0" applyAlignment="0" applyProtection="0"/>
    <xf numFmtId="170" fontId="30" fillId="0" borderId="0"/>
    <xf numFmtId="0" fontId="5" fillId="0" borderId="0"/>
    <xf numFmtId="0" fontId="9" fillId="0" borderId="0"/>
    <xf numFmtId="0" fontId="5" fillId="0" borderId="0"/>
    <xf numFmtId="0" fontId="31" fillId="0" borderId="0"/>
    <xf numFmtId="0" fontId="32" fillId="21" borderId="18" applyNumberFormat="0" applyFont="0" applyAlignment="0" applyProtection="0"/>
    <xf numFmtId="171" fontId="5" fillId="22" borderId="0" applyFill="0" applyBorder="0" applyAlignment="0" applyProtection="0"/>
    <xf numFmtId="0" fontId="26" fillId="22" borderId="0"/>
    <xf numFmtId="0" fontId="33" fillId="16" borderId="19" applyNumberFormat="0" applyAlignment="0" applyProtection="0"/>
    <xf numFmtId="10" fontId="5" fillId="0" borderId="0" applyFont="0" applyFill="0" applyBorder="0" applyAlignment="0" applyProtection="0"/>
    <xf numFmtId="9" fontId="28" fillId="0" borderId="20" applyNumberFormat="0" applyBorder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4" fillId="0" borderId="21">
      <alignment horizontal="center"/>
    </xf>
    <xf numFmtId="3" fontId="28" fillId="0" borderId="0" applyFont="0" applyFill="0" applyBorder="0" applyAlignment="0" applyProtection="0"/>
    <xf numFmtId="0" fontId="28" fillId="23" borderId="0" applyNumberFormat="0" applyFont="0" applyBorder="0" applyAlignment="0" applyProtection="0"/>
    <xf numFmtId="172" fontId="5" fillId="0" borderId="0" applyNumberFormat="0" applyFill="0" applyBorder="0" applyAlignment="0" applyProtection="0">
      <alignment horizontal="left"/>
    </xf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7" fillId="0" borderId="0"/>
    <xf numFmtId="40" fontId="35" fillId="0" borderId="0" applyBorder="0">
      <alignment horizontal="right"/>
    </xf>
    <xf numFmtId="0" fontId="36" fillId="0" borderId="0" applyNumberFormat="0" applyFill="0" applyBorder="0" applyAlignment="0" applyProtection="0"/>
    <xf numFmtId="0" fontId="37" fillId="0" borderId="0">
      <alignment vertical="top"/>
    </xf>
    <xf numFmtId="0" fontId="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ont="0" applyFill="0" applyBorder="0" applyProtection="0">
      <alignment horizontal="center" vertical="center" wrapText="1"/>
    </xf>
    <xf numFmtId="0" fontId="6" fillId="0" borderId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32" fillId="0" borderId="0"/>
    <xf numFmtId="0" fontId="6" fillId="0" borderId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/>
    <xf numFmtId="0" fontId="4" fillId="0" borderId="0" xfId="0" applyFont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Border="1"/>
    <xf numFmtId="0" fontId="0" fillId="0" borderId="0" xfId="0" applyFont="1"/>
    <xf numFmtId="0" fontId="9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4"/>
    </xf>
    <xf numFmtId="0" fontId="5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81" fontId="49" fillId="0" borderId="0" xfId="1" applyNumberFormat="1" applyFont="1" applyAlignment="1">
      <alignment vertical="center"/>
    </xf>
    <xf numFmtId="181" fontId="9" fillId="0" borderId="0" xfId="1" applyNumberFormat="1" applyFont="1" applyAlignment="1">
      <alignment vertical="center"/>
    </xf>
    <xf numFmtId="181" fontId="60" fillId="0" borderId="0" xfId="1" applyNumberFormat="1" applyFont="1" applyAlignment="1">
      <alignment vertical="center"/>
    </xf>
    <xf numFmtId="181" fontId="52" fillId="0" borderId="0" xfId="1" applyNumberFormat="1" applyFont="1" applyAlignment="1">
      <alignment vertical="center"/>
    </xf>
    <xf numFmtId="181" fontId="52" fillId="29" borderId="0" xfId="1" applyNumberFormat="1" applyFont="1" applyFill="1" applyAlignment="1">
      <alignment vertical="center"/>
    </xf>
    <xf numFmtId="181" fontId="61" fillId="0" borderId="0" xfId="1" applyNumberFormat="1" applyFont="1" applyFill="1" applyAlignment="1">
      <alignment vertical="center"/>
    </xf>
    <xf numFmtId="0" fontId="52" fillId="0" borderId="0" xfId="0" quotePrefix="1" applyFont="1" applyAlignment="1">
      <alignment horizontal="left" vertical="center"/>
    </xf>
    <xf numFmtId="181" fontId="61" fillId="0" borderId="0" xfId="1" applyNumberFormat="1" applyFont="1" applyAlignment="1">
      <alignment vertical="center"/>
    </xf>
    <xf numFmtId="0" fontId="58" fillId="0" borderId="0" xfId="0" applyFont="1" applyAlignment="1">
      <alignment vertical="center"/>
    </xf>
    <xf numFmtId="181" fontId="58" fillId="0" borderId="0" xfId="1" applyNumberFormat="1" applyFont="1" applyAlignment="1">
      <alignment vertic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horizontal="left" vertical="center" indent="2"/>
    </xf>
    <xf numFmtId="0" fontId="58" fillId="0" borderId="0" xfId="0" applyFont="1" applyAlignment="1">
      <alignment horizontal="left" vertical="center" indent="3"/>
    </xf>
    <xf numFmtId="0" fontId="58" fillId="0" borderId="21" xfId="0" applyFont="1" applyBorder="1" applyAlignment="1">
      <alignment vertical="center"/>
    </xf>
    <xf numFmtId="0" fontId="58" fillId="0" borderId="28" xfId="0" applyFont="1" applyFill="1" applyBorder="1" applyAlignment="1">
      <alignment vertical="center"/>
    </xf>
    <xf numFmtId="0" fontId="58" fillId="0" borderId="29" xfId="0" applyFont="1" applyBorder="1" applyAlignment="1">
      <alignment vertical="center"/>
    </xf>
    <xf numFmtId="0" fontId="58" fillId="30" borderId="31" xfId="0" applyFont="1" applyFill="1" applyBorder="1" applyAlignment="1">
      <alignment vertical="center"/>
    </xf>
    <xf numFmtId="0" fontId="58" fillId="0" borderId="21" xfId="0" applyFont="1" applyFill="1" applyBorder="1" applyAlignment="1">
      <alignment vertical="center"/>
    </xf>
    <xf numFmtId="0" fontId="58" fillId="29" borderId="21" xfId="0" applyFont="1" applyFill="1" applyBorder="1" applyAlignment="1">
      <alignment vertical="center"/>
    </xf>
    <xf numFmtId="3" fontId="58" fillId="0" borderId="0" xfId="0" applyNumberFormat="1" applyFont="1" applyBorder="1" applyAlignment="1">
      <alignment vertical="center"/>
    </xf>
    <xf numFmtId="3" fontId="58" fillId="0" borderId="25" xfId="0" applyNumberFormat="1" applyFont="1" applyBorder="1" applyAlignment="1">
      <alignment vertical="center"/>
    </xf>
    <xf numFmtId="3" fontId="58" fillId="0" borderId="30" xfId="0" applyNumberFormat="1" applyFont="1" applyBorder="1" applyAlignment="1">
      <alignment vertical="center"/>
    </xf>
    <xf numFmtId="3" fontId="58" fillId="30" borderId="36" xfId="0" applyNumberFormat="1" applyFont="1" applyFill="1" applyBorder="1" applyAlignment="1">
      <alignment vertical="center"/>
    </xf>
    <xf numFmtId="0" fontId="62" fillId="0" borderId="0" xfId="0" applyFont="1" applyAlignment="1">
      <alignment vertical="center"/>
    </xf>
    <xf numFmtId="179" fontId="62" fillId="25" borderId="11" xfId="0" applyNumberFormat="1" applyFont="1" applyFill="1" applyBorder="1" applyAlignment="1">
      <alignment vertical="center"/>
    </xf>
    <xf numFmtId="179" fontId="62" fillId="25" borderId="27" xfId="0" applyNumberFormat="1" applyFont="1" applyFill="1" applyBorder="1" applyAlignment="1">
      <alignment vertical="center"/>
    </xf>
    <xf numFmtId="179" fontId="62" fillId="25" borderId="26" xfId="0" applyNumberFormat="1" applyFont="1" applyFill="1" applyBorder="1" applyAlignment="1">
      <alignment vertical="center"/>
    </xf>
    <xf numFmtId="179" fontId="58" fillId="0" borderId="0" xfId="0" applyNumberFormat="1" applyFont="1" applyBorder="1" applyAlignment="1">
      <alignment vertical="center"/>
    </xf>
    <xf numFmtId="179" fontId="58" fillId="0" borderId="25" xfId="0" applyNumberFormat="1" applyFont="1" applyBorder="1" applyAlignment="1">
      <alignment vertical="center"/>
    </xf>
    <xf numFmtId="179" fontId="58" fillId="0" borderId="30" xfId="0" applyNumberFormat="1" applyFont="1" applyBorder="1" applyAlignment="1">
      <alignment vertical="center"/>
    </xf>
    <xf numFmtId="0" fontId="51" fillId="0" borderId="25" xfId="0" applyFont="1" applyBorder="1" applyAlignment="1" applyProtection="1">
      <alignment vertical="center"/>
    </xf>
    <xf numFmtId="179" fontId="58" fillId="0" borderId="20" xfId="0" applyNumberFormat="1" applyFont="1" applyBorder="1" applyAlignment="1">
      <alignment vertical="center"/>
    </xf>
    <xf numFmtId="179" fontId="58" fillId="0" borderId="33" xfId="0" applyNumberFormat="1" applyFont="1" applyBorder="1" applyAlignment="1">
      <alignment vertical="center"/>
    </xf>
    <xf numFmtId="179" fontId="58" fillId="0" borderId="34" xfId="0" applyNumberFormat="1" applyFont="1" applyBorder="1" applyAlignment="1">
      <alignment vertical="center"/>
    </xf>
    <xf numFmtId="0" fontId="51" fillId="0" borderId="33" xfId="0" applyFont="1" applyBorder="1" applyAlignment="1" applyProtection="1">
      <alignment vertical="center"/>
    </xf>
    <xf numFmtId="0" fontId="58" fillId="0" borderId="0" xfId="0" applyFont="1" applyAlignment="1">
      <alignment horizontal="right" vertical="center"/>
    </xf>
    <xf numFmtId="0" fontId="51" fillId="0" borderId="29" xfId="113" applyFont="1" applyBorder="1" applyAlignment="1" applyProtection="1">
      <alignment horizontal="right" vertical="center" wrapText="1"/>
    </xf>
    <xf numFmtId="0" fontId="51" fillId="0" borderId="21" xfId="113" applyFont="1" applyBorder="1" applyAlignment="1" applyProtection="1">
      <alignment horizontal="right" vertical="center" wrapText="1"/>
    </xf>
    <xf numFmtId="0" fontId="51" fillId="0" borderId="28" xfId="113" applyFont="1" applyBorder="1" applyAlignment="1" applyProtection="1">
      <alignment horizontal="right" vertical="center" wrapText="1"/>
    </xf>
    <xf numFmtId="0" fontId="51" fillId="0" borderId="31" xfId="113" applyFont="1" applyFill="1" applyBorder="1" applyAlignment="1" applyProtection="1">
      <alignment horizontal="right" vertical="center" wrapText="1"/>
    </xf>
    <xf numFmtId="0" fontId="51" fillId="0" borderId="0" xfId="0" applyFont="1" applyBorder="1" applyAlignment="1" applyProtection="1">
      <alignment horizontal="right" vertical="center"/>
    </xf>
    <xf numFmtId="14" fontId="51" fillId="0" borderId="34" xfId="113" quotePrefix="1" applyNumberFormat="1" applyFont="1" applyBorder="1" applyAlignment="1" applyProtection="1">
      <alignment horizontal="right" vertical="center"/>
    </xf>
    <xf numFmtId="14" fontId="51" fillId="0" borderId="20" xfId="113" quotePrefix="1" applyNumberFormat="1" applyFont="1" applyBorder="1" applyAlignment="1" applyProtection="1">
      <alignment horizontal="right" vertical="center"/>
    </xf>
    <xf numFmtId="14" fontId="51" fillId="0" borderId="33" xfId="113" quotePrefix="1" applyNumberFormat="1" applyFont="1" applyBorder="1" applyAlignment="1" applyProtection="1">
      <alignment horizontal="right" vertical="center"/>
    </xf>
    <xf numFmtId="0" fontId="51" fillId="0" borderId="32" xfId="113" applyFont="1" applyFill="1" applyBorder="1" applyAlignment="1" applyProtection="1">
      <alignment horizontal="right" vertical="center"/>
    </xf>
    <xf numFmtId="0" fontId="63" fillId="0" borderId="0" xfId="0" applyFont="1" applyAlignment="1">
      <alignment vertical="center"/>
    </xf>
    <xf numFmtId="0" fontId="51" fillId="0" borderId="0" xfId="0" applyFont="1" applyAlignment="1" applyProtection="1">
      <alignment vertical="center"/>
    </xf>
    <xf numFmtId="0" fontId="51" fillId="0" borderId="28" xfId="0" applyFont="1" applyFill="1" applyBorder="1" applyAlignment="1" applyProtection="1">
      <alignment vertical="center"/>
    </xf>
    <xf numFmtId="0" fontId="51" fillId="0" borderId="25" xfId="0" applyFont="1" applyFill="1" applyBorder="1" applyAlignment="1" applyProtection="1">
      <alignment vertical="center"/>
    </xf>
    <xf numFmtId="0" fontId="55" fillId="0" borderId="0" xfId="0" applyFont="1" applyAlignment="1">
      <alignment vertical="center"/>
    </xf>
    <xf numFmtId="179" fontId="50" fillId="25" borderId="35" xfId="115" applyNumberFormat="1" applyFont="1" applyFill="1" applyBorder="1" applyAlignment="1" applyProtection="1">
      <alignment vertical="center"/>
    </xf>
    <xf numFmtId="0" fontId="50" fillId="25" borderId="27" xfId="0" applyFont="1" applyFill="1" applyBorder="1" applyAlignment="1" applyProtection="1">
      <alignment vertical="center"/>
    </xf>
    <xf numFmtId="179" fontId="58" fillId="31" borderId="36" xfId="0" applyNumberFormat="1" applyFont="1" applyFill="1" applyBorder="1" applyAlignment="1">
      <alignment vertical="center"/>
    </xf>
    <xf numFmtId="182" fontId="58" fillId="0" borderId="0" xfId="0" applyNumberFormat="1" applyFont="1" applyAlignment="1">
      <alignment vertical="center"/>
    </xf>
    <xf numFmtId="0" fontId="58" fillId="0" borderId="0" xfId="0" applyFont="1" applyAlignment="1">
      <alignment horizontal="right" vertical="center" wrapText="1"/>
    </xf>
    <xf numFmtId="0" fontId="58" fillId="0" borderId="21" xfId="0" applyFont="1" applyBorder="1" applyAlignment="1">
      <alignment horizontal="right" vertical="center" wrapText="1"/>
    </xf>
    <xf numFmtId="0" fontId="49" fillId="0" borderId="0" xfId="0" applyFont="1" applyAlignment="1">
      <alignment horizontal="center" vertical="center"/>
    </xf>
    <xf numFmtId="0" fontId="49" fillId="26" borderId="26" xfId="0" applyFont="1" applyFill="1" applyBorder="1" applyAlignment="1">
      <alignment horizontal="centerContinuous" vertical="center"/>
    </xf>
    <xf numFmtId="0" fontId="49" fillId="26" borderId="11" xfId="0" applyFont="1" applyFill="1" applyBorder="1" applyAlignment="1">
      <alignment horizontal="centerContinuous" vertical="center"/>
    </xf>
    <xf numFmtId="0" fontId="64" fillId="26" borderId="27" xfId="0" applyFont="1" applyFill="1" applyBorder="1" applyAlignment="1">
      <alignment horizontal="centerContinuous" vertical="center"/>
    </xf>
    <xf numFmtId="0" fontId="65" fillId="0" borderId="0" xfId="0" applyFont="1" applyAlignment="1">
      <alignment vertical="center"/>
    </xf>
    <xf numFmtId="0" fontId="57" fillId="0" borderId="0" xfId="116" applyFont="1" applyAlignment="1">
      <alignment horizontal="right" vertical="center"/>
    </xf>
    <xf numFmtId="0" fontId="57" fillId="0" borderId="0" xfId="116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78" fontId="57" fillId="0" borderId="0" xfId="116" applyNumberFormat="1" applyFont="1" applyFill="1" applyAlignment="1">
      <alignment horizontal="right" vertical="center"/>
    </xf>
    <xf numFmtId="3" fontId="57" fillId="0" borderId="0" xfId="116" applyNumberFormat="1" applyFont="1" applyAlignment="1">
      <alignment vertical="center"/>
    </xf>
    <xf numFmtId="0" fontId="57" fillId="0" borderId="0" xfId="116" applyFont="1" applyAlignment="1">
      <alignment vertical="center"/>
    </xf>
    <xf numFmtId="0" fontId="68" fillId="0" borderId="0" xfId="0" applyFont="1" applyAlignment="1">
      <alignment vertical="center"/>
    </xf>
    <xf numFmtId="0" fontId="41" fillId="0" borderId="0" xfId="113" applyFont="1" applyFill="1" applyBorder="1" applyAlignment="1" applyProtection="1">
      <alignment vertical="center"/>
    </xf>
    <xf numFmtId="181" fontId="68" fillId="0" borderId="0" xfId="1" applyNumberFormat="1" applyFont="1" applyAlignment="1">
      <alignment vertical="center"/>
    </xf>
    <xf numFmtId="0" fontId="68" fillId="0" borderId="0" xfId="0" applyFont="1" applyAlignment="1">
      <alignment horizontal="left" vertical="center"/>
    </xf>
    <xf numFmtId="181" fontId="40" fillId="0" borderId="0" xfId="1" applyNumberFormat="1" applyFont="1" applyAlignment="1">
      <alignment vertical="center"/>
    </xf>
    <xf numFmtId="0" fontId="68" fillId="0" borderId="0" xfId="0" applyFont="1" applyAlignment="1">
      <alignment horizontal="left" vertical="center" indent="1"/>
    </xf>
    <xf numFmtId="0" fontId="68" fillId="0" borderId="0" xfId="0" applyFont="1" applyAlignment="1">
      <alignment horizontal="left" vertical="center" indent="2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68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68" fillId="0" borderId="0" xfId="0" applyFont="1" applyBorder="1" applyAlignment="1">
      <alignment horizontal="left" vertical="center" indent="1"/>
    </xf>
    <xf numFmtId="0" fontId="68" fillId="0" borderId="0" xfId="0" applyFont="1" applyBorder="1" applyAlignment="1">
      <alignment horizontal="left" vertical="center"/>
    </xf>
    <xf numFmtId="0" fontId="71" fillId="0" borderId="0" xfId="0" applyFont="1" applyBorder="1" applyAlignment="1">
      <alignment vertical="center"/>
    </xf>
    <xf numFmtId="3" fontId="72" fillId="0" borderId="0" xfId="0" applyNumberFormat="1" applyFont="1" applyBorder="1" applyAlignment="1">
      <alignment vertical="center"/>
    </xf>
    <xf numFmtId="0" fontId="73" fillId="0" borderId="0" xfId="113" applyFont="1" applyFill="1" applyBorder="1" applyAlignment="1" applyProtection="1">
      <alignment vertical="center" wrapText="1"/>
    </xf>
    <xf numFmtId="3" fontId="68" fillId="0" borderId="21" xfId="0" applyNumberFormat="1" applyFont="1" applyBorder="1" applyAlignment="1">
      <alignment horizontal="right" vertical="center"/>
    </xf>
    <xf numFmtId="3" fontId="45" fillId="0" borderId="25" xfId="115" applyNumberFormat="1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3" fontId="68" fillId="0" borderId="0" xfId="0" applyNumberFormat="1" applyFont="1" applyAlignment="1">
      <alignment horizontal="right" vertical="center"/>
    </xf>
    <xf numFmtId="3" fontId="68" fillId="0" borderId="0" xfId="0" applyNumberFormat="1" applyFont="1" applyAlignment="1">
      <alignment horizontal="right" vertical="top"/>
    </xf>
    <xf numFmtId="3" fontId="74" fillId="0" borderId="0" xfId="0" applyNumberFormat="1" applyFont="1" applyAlignment="1">
      <alignment horizontal="right" vertical="top"/>
    </xf>
    <xf numFmtId="0" fontId="41" fillId="0" borderId="21" xfId="113" applyFont="1" applyBorder="1" applyAlignment="1" applyProtection="1">
      <alignment horizontal="left" vertical="center"/>
    </xf>
    <xf numFmtId="0" fontId="68" fillId="0" borderId="0" xfId="0" applyFont="1" applyBorder="1" applyAlignment="1">
      <alignment horizontal="center" vertical="center" wrapText="1"/>
    </xf>
    <xf numFmtId="0" fontId="42" fillId="0" borderId="0" xfId="113" applyFont="1" applyBorder="1" applyAlignment="1" applyProtection="1">
      <alignment horizontal="center" vertical="center" wrapText="1"/>
    </xf>
    <xf numFmtId="0" fontId="42" fillId="0" borderId="0" xfId="113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42" fillId="0" borderId="29" xfId="113" applyFont="1" applyBorder="1" applyAlignment="1" applyProtection="1">
      <alignment horizontal="center" vertical="center" wrapText="1"/>
    </xf>
    <xf numFmtId="0" fontId="42" fillId="0" borderId="21" xfId="113" applyFont="1" applyBorder="1" applyAlignment="1" applyProtection="1">
      <alignment horizontal="center" vertical="center" wrapText="1"/>
    </xf>
    <xf numFmtId="0" fontId="42" fillId="0" borderId="28" xfId="113" applyFont="1" applyBorder="1" applyAlignment="1" applyProtection="1">
      <alignment horizontal="center" vertical="center" wrapText="1"/>
    </xf>
    <xf numFmtId="0" fontId="42" fillId="0" borderId="31" xfId="113" applyFont="1" applyFill="1" applyBorder="1" applyAlignment="1" applyProtection="1">
      <alignment horizontal="center" vertical="center" wrapText="1"/>
    </xf>
    <xf numFmtId="0" fontId="68" fillId="0" borderId="3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0" fillId="0" borderId="0" xfId="0" applyFont="1" applyBorder="1"/>
    <xf numFmtId="3" fontId="46" fillId="0" borderId="0" xfId="116" applyNumberFormat="1" applyFont="1" applyFill="1" applyBorder="1" applyAlignment="1">
      <alignment horizontal="center" vertical="center"/>
    </xf>
    <xf numFmtId="3" fontId="75" fillId="0" borderId="0" xfId="116" applyNumberFormat="1" applyFont="1" applyFill="1" applyBorder="1" applyAlignment="1">
      <alignment horizontal="center" vertical="center"/>
    </xf>
    <xf numFmtId="3" fontId="47" fillId="26" borderId="26" xfId="116" applyNumberFormat="1" applyFont="1" applyFill="1" applyBorder="1" applyAlignment="1">
      <alignment horizontal="centerContinuous" vertical="center"/>
    </xf>
    <xf numFmtId="3" fontId="47" fillId="26" borderId="11" xfId="116" applyNumberFormat="1" applyFont="1" applyFill="1" applyBorder="1" applyAlignment="1">
      <alignment horizontal="centerContinuous" vertical="center"/>
    </xf>
    <xf numFmtId="3" fontId="47" fillId="26" borderId="27" xfId="116" applyNumberFormat="1" applyFont="1" applyFill="1" applyBorder="1" applyAlignment="1">
      <alignment horizontal="centerContinuous" vertical="center"/>
    </xf>
    <xf numFmtId="0" fontId="76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178" fontId="43" fillId="0" borderId="0" xfId="116" applyNumberFormat="1" applyFont="1" applyFill="1" applyAlignment="1">
      <alignment horizontal="right" vertical="center"/>
    </xf>
    <xf numFmtId="0" fontId="42" fillId="0" borderId="0" xfId="116" applyFont="1" applyFill="1" applyAlignment="1">
      <alignment vertical="center"/>
    </xf>
    <xf numFmtId="3" fontId="43" fillId="0" borderId="0" xfId="116" applyNumberFormat="1" applyFont="1" applyAlignment="1">
      <alignment vertical="center"/>
    </xf>
    <xf numFmtId="0" fontId="42" fillId="0" borderId="0" xfId="116" applyFont="1" applyAlignment="1">
      <alignment vertical="center"/>
    </xf>
    <xf numFmtId="3" fontId="0" fillId="0" borderId="0" xfId="0" applyNumberFormat="1" applyFont="1"/>
    <xf numFmtId="0" fontId="68" fillId="27" borderId="0" xfId="0" applyFont="1" applyFill="1" applyAlignment="1" applyProtection="1">
      <alignment vertical="center"/>
      <protection locked="0"/>
    </xf>
    <xf numFmtId="0" fontId="68" fillId="0" borderId="0" xfId="0" applyFont="1" applyAlignment="1" applyProtection="1">
      <alignment vertical="center"/>
      <protection locked="0"/>
    </xf>
    <xf numFmtId="0" fontId="68" fillId="27" borderId="0" xfId="0" applyFont="1" applyFill="1" applyAlignment="1">
      <alignment vertical="center"/>
    </xf>
    <xf numFmtId="183" fontId="68" fillId="0" borderId="0" xfId="0" applyNumberFormat="1" applyFont="1" applyAlignment="1">
      <alignment vertical="center"/>
    </xf>
    <xf numFmtId="180" fontId="68" fillId="0" borderId="0" xfId="0" applyNumberFormat="1" applyFont="1" applyAlignment="1">
      <alignment vertical="center"/>
    </xf>
    <xf numFmtId="180" fontId="77" fillId="0" borderId="0" xfId="0" applyNumberFormat="1" applyFont="1" applyAlignment="1">
      <alignment vertical="center"/>
    </xf>
    <xf numFmtId="0" fontId="78" fillId="0" borderId="0" xfId="0" applyFont="1" applyBorder="1" applyAlignment="1">
      <alignment horizontal="center" vertical="center"/>
    </xf>
    <xf numFmtId="0" fontId="76" fillId="0" borderId="0" xfId="0" applyFont="1" applyAlignment="1" applyProtection="1">
      <alignment vertical="center"/>
      <protection locked="0"/>
    </xf>
    <xf numFmtId="178" fontId="43" fillId="0" borderId="0" xfId="116" applyNumberFormat="1" applyFont="1" applyFill="1" applyAlignment="1" applyProtection="1">
      <alignment horizontal="right" vertical="center"/>
      <protection locked="0"/>
    </xf>
    <xf numFmtId="0" fontId="42" fillId="0" borderId="0" xfId="116" applyFont="1" applyFill="1" applyAlignment="1" applyProtection="1">
      <alignment vertical="center"/>
      <protection locked="0"/>
    </xf>
    <xf numFmtId="0" fontId="68" fillId="0" borderId="0" xfId="0" applyFont="1" applyFill="1" applyBorder="1" applyAlignment="1" applyProtection="1">
      <alignment vertical="center"/>
      <protection locked="0"/>
    </xf>
    <xf numFmtId="3" fontId="43" fillId="0" borderId="0" xfId="116" applyNumberFormat="1" applyFont="1" applyAlignment="1" applyProtection="1">
      <alignment vertical="center"/>
      <protection locked="0"/>
    </xf>
    <xf numFmtId="0" fontId="42" fillId="0" borderId="0" xfId="116" applyFont="1" applyAlignment="1" applyProtection="1">
      <alignment vertical="center"/>
      <protection locked="0"/>
    </xf>
    <xf numFmtId="0" fontId="68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78" fillId="0" borderId="27" xfId="0" applyFont="1" applyBorder="1" applyAlignment="1">
      <alignment horizontal="centerContinuous" vertical="center"/>
    </xf>
    <xf numFmtId="0" fontId="78" fillId="0" borderId="11" xfId="0" applyFont="1" applyBorder="1" applyAlignment="1">
      <alignment horizontal="centerContinuous" vertical="center"/>
    </xf>
    <xf numFmtId="0" fontId="78" fillId="0" borderId="26" xfId="0" applyFont="1" applyBorder="1" applyAlignment="1">
      <alignment horizontal="centerContinuous" vertical="center"/>
    </xf>
    <xf numFmtId="0" fontId="79" fillId="0" borderId="0" xfId="0" applyFont="1"/>
    <xf numFmtId="0" fontId="79" fillId="0" borderId="33" xfId="0" applyFont="1" applyBorder="1"/>
    <xf numFmtId="0" fontId="0" fillId="0" borderId="20" xfId="0" applyBorder="1"/>
    <xf numFmtId="0" fontId="0" fillId="0" borderId="34" xfId="0" applyBorder="1"/>
    <xf numFmtId="0" fontId="79" fillId="0" borderId="25" xfId="0" applyFont="1" applyBorder="1"/>
    <xf numFmtId="0" fontId="0" fillId="0" borderId="0" xfId="0" applyBorder="1"/>
    <xf numFmtId="0" fontId="0" fillId="0" borderId="30" xfId="0" applyBorder="1"/>
    <xf numFmtId="0" fontId="80" fillId="0" borderId="25" xfId="0" applyFont="1" applyBorder="1"/>
    <xf numFmtId="0" fontId="0" fillId="0" borderId="28" xfId="0" applyBorder="1"/>
    <xf numFmtId="0" fontId="0" fillId="0" borderId="21" xfId="0" applyBorder="1"/>
    <xf numFmtId="0" fontId="0" fillId="0" borderId="29" xfId="0" applyBorder="1"/>
    <xf numFmtId="0" fontId="81" fillId="24" borderId="27" xfId="0" applyFont="1" applyFill="1" applyBorder="1"/>
    <xf numFmtId="0" fontId="2" fillId="24" borderId="26" xfId="0" applyFont="1" applyFill="1" applyBorder="1"/>
    <xf numFmtId="0" fontId="68" fillId="0" borderId="24" xfId="0" applyFont="1" applyBorder="1" applyAlignment="1">
      <alignment horizontal="center" vertical="center" wrapText="1"/>
    </xf>
    <xf numFmtId="14" fontId="43" fillId="0" borderId="20" xfId="113" quotePrefix="1" applyNumberFormat="1" applyFont="1" applyBorder="1" applyAlignment="1" applyProtection="1">
      <alignment horizontal="center" vertical="center" wrapText="1"/>
    </xf>
    <xf numFmtId="0" fontId="43" fillId="0" borderId="32" xfId="113" applyFont="1" applyFill="1" applyBorder="1" applyAlignment="1" applyProtection="1">
      <alignment horizontal="center" vertical="center" wrapText="1"/>
    </xf>
    <xf numFmtId="14" fontId="43" fillId="0" borderId="33" xfId="113" quotePrefix="1" applyNumberFormat="1" applyFont="1" applyBorder="1" applyAlignment="1" applyProtection="1">
      <alignment horizontal="center" vertical="center" wrapText="1"/>
    </xf>
    <xf numFmtId="14" fontId="43" fillId="0" borderId="34" xfId="113" quotePrefix="1" applyNumberFormat="1" applyFont="1" applyBorder="1" applyAlignment="1" applyProtection="1">
      <alignment horizontal="center" vertical="center" wrapText="1"/>
    </xf>
    <xf numFmtId="0" fontId="68" fillId="0" borderId="37" xfId="0" applyFont="1" applyBorder="1" applyAlignment="1">
      <alignment horizontal="center" vertical="center" wrapText="1"/>
    </xf>
    <xf numFmtId="0" fontId="45" fillId="0" borderId="0" xfId="115" applyFont="1" applyAlignment="1" applyProtection="1">
      <alignment vertical="center"/>
    </xf>
    <xf numFmtId="0" fontId="44" fillId="0" borderId="0" xfId="115" applyFont="1" applyAlignment="1" applyProtection="1">
      <alignment vertical="center"/>
    </xf>
    <xf numFmtId="0" fontId="41" fillId="0" borderId="0" xfId="115" applyFont="1" applyAlignment="1" applyProtection="1">
      <alignment vertical="center"/>
    </xf>
    <xf numFmtId="0" fontId="41" fillId="0" borderId="30" xfId="0" applyFont="1" applyBorder="1" applyAlignment="1" applyProtection="1">
      <alignment horizontal="left" vertical="center"/>
    </xf>
    <xf numFmtId="0" fontId="42" fillId="0" borderId="29" xfId="0" applyFont="1" applyBorder="1" applyAlignment="1" applyProtection="1">
      <alignment vertical="center"/>
    </xf>
    <xf numFmtId="183" fontId="68" fillId="0" borderId="0" xfId="0" applyNumberFormat="1" applyFont="1" applyAlignment="1">
      <alignment horizontal="left" vertical="center"/>
    </xf>
    <xf numFmtId="3" fontId="68" fillId="0" borderId="0" xfId="0" applyNumberFormat="1" applyFont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3" fontId="68" fillId="0" borderId="30" xfId="0" applyNumberFormat="1" applyFont="1" applyFill="1" applyBorder="1" applyAlignment="1">
      <alignment vertical="center"/>
    </xf>
    <xf numFmtId="3" fontId="68" fillId="30" borderId="36" xfId="0" applyNumberFormat="1" applyFont="1" applyFill="1" applyBorder="1" applyAlignment="1">
      <alignment vertical="center"/>
    </xf>
    <xf numFmtId="3" fontId="68" fillId="0" borderId="30" xfId="0" applyNumberFormat="1" applyFont="1" applyBorder="1" applyAlignment="1">
      <alignment vertical="center"/>
    </xf>
    <xf numFmtId="0" fontId="41" fillId="25" borderId="35" xfId="0" applyFont="1" applyFill="1" applyBorder="1" applyAlignment="1" applyProtection="1">
      <alignment vertical="center"/>
    </xf>
    <xf numFmtId="184" fontId="82" fillId="25" borderId="11" xfId="0" applyNumberFormat="1" applyFont="1" applyFill="1" applyBorder="1" applyAlignment="1" applyProtection="1">
      <alignment horizontal="right" vertical="center"/>
    </xf>
    <xf numFmtId="184" fontId="82" fillId="28" borderId="11" xfId="0" applyNumberFormat="1" applyFont="1" applyFill="1" applyBorder="1" applyAlignment="1" applyProtection="1">
      <alignment horizontal="right" vertical="center"/>
    </xf>
    <xf numFmtId="184" fontId="82" fillId="28" borderId="26" xfId="0" applyNumberFormat="1" applyFont="1" applyFill="1" applyBorder="1" applyAlignment="1" applyProtection="1">
      <alignment horizontal="right" vertical="center"/>
    </xf>
    <xf numFmtId="184" fontId="82" fillId="28" borderId="35" xfId="0" applyNumberFormat="1" applyFont="1" applyFill="1" applyBorder="1" applyAlignment="1" applyProtection="1">
      <alignment horizontal="right" vertical="center"/>
    </xf>
    <xf numFmtId="184" fontId="82" fillId="25" borderId="26" xfId="0" applyNumberFormat="1" applyFont="1" applyFill="1" applyBorder="1" applyAlignment="1" applyProtection="1">
      <alignment horizontal="right" vertical="center"/>
    </xf>
    <xf numFmtId="0" fontId="42" fillId="0" borderId="32" xfId="0" applyFont="1" applyFill="1" applyBorder="1" applyAlignment="1" applyProtection="1">
      <alignment vertical="center"/>
    </xf>
    <xf numFmtId="0" fontId="42" fillId="0" borderId="31" xfId="0" applyFont="1" applyFill="1" applyBorder="1" applyAlignment="1" applyProtection="1">
      <alignment vertical="center"/>
    </xf>
    <xf numFmtId="0" fontId="68" fillId="0" borderId="0" xfId="0" applyFont="1" applyAlignment="1" applyProtection="1">
      <alignment horizontal="left" vertical="center" indent="1"/>
      <protection locked="0"/>
    </xf>
    <xf numFmtId="0" fontId="68" fillId="0" borderId="0" xfId="0" applyFont="1" applyAlignment="1" applyProtection="1">
      <alignment horizontal="left" vertical="center"/>
      <protection locked="0"/>
    </xf>
    <xf numFmtId="3" fontId="68" fillId="0" borderId="0" xfId="0" applyNumberFormat="1" applyFont="1" applyAlignment="1" applyProtection="1">
      <alignment vertical="center"/>
      <protection locked="0"/>
    </xf>
    <xf numFmtId="0" fontId="68" fillId="0" borderId="0" xfId="0" applyFont="1" applyFill="1" applyAlignment="1" applyProtection="1">
      <alignment vertical="center"/>
      <protection locked="0"/>
    </xf>
    <xf numFmtId="0" fontId="68" fillId="0" borderId="0" xfId="0" applyFont="1" applyAlignment="1" applyProtection="1">
      <alignment horizontal="left" vertical="center" indent="2"/>
      <protection locked="0"/>
    </xf>
    <xf numFmtId="0" fontId="68" fillId="0" borderId="0" xfId="0" applyFont="1" applyAlignment="1" applyProtection="1">
      <alignment horizontal="left" vertical="center" indent="5"/>
      <protection locked="0"/>
    </xf>
    <xf numFmtId="0" fontId="40" fillId="32" borderId="0" xfId="0" applyFont="1" applyFill="1" applyAlignment="1" applyProtection="1">
      <alignment horizontal="left" vertical="center"/>
      <protection locked="0"/>
    </xf>
    <xf numFmtId="0" fontId="40" fillId="32" borderId="0" xfId="0" applyFont="1" applyFill="1" applyAlignment="1">
      <alignment vertical="center"/>
    </xf>
    <xf numFmtId="3" fontId="40" fillId="32" borderId="0" xfId="0" applyNumberFormat="1" applyFont="1" applyFill="1" applyAlignment="1">
      <alignment vertical="center"/>
    </xf>
    <xf numFmtId="3" fontId="83" fillId="32" borderId="0" xfId="0" applyNumberFormat="1" applyFont="1" applyFill="1" applyAlignment="1">
      <alignment vertical="center"/>
    </xf>
    <xf numFmtId="3" fontId="68" fillId="0" borderId="0" xfId="0" applyNumberFormat="1" applyFont="1" applyAlignment="1">
      <alignment vertical="center"/>
    </xf>
    <xf numFmtId="0" fontId="68" fillId="0" borderId="0" xfId="0" applyFont="1" applyAlignment="1" applyProtection="1">
      <alignment horizontal="left" vertical="center" indent="4"/>
      <protection locked="0"/>
    </xf>
    <xf numFmtId="3" fontId="68" fillId="27" borderId="0" xfId="0" applyNumberFormat="1" applyFont="1" applyFill="1" applyAlignment="1">
      <alignment vertical="center"/>
    </xf>
    <xf numFmtId="0" fontId="40" fillId="0" borderId="0" xfId="0" applyFont="1" applyFill="1" applyAlignment="1" applyProtection="1">
      <alignment horizontal="left" vertical="center"/>
      <protection locked="0"/>
    </xf>
    <xf numFmtId="3" fontId="84" fillId="27" borderId="0" xfId="0" applyNumberFormat="1" applyFont="1" applyFill="1" applyAlignment="1" applyProtection="1">
      <alignment vertical="center"/>
      <protection locked="0"/>
    </xf>
    <xf numFmtId="3" fontId="68" fillId="27" borderId="0" xfId="0" applyNumberFormat="1" applyFont="1" applyFill="1" applyAlignment="1" applyProtection="1">
      <alignment vertical="center"/>
      <protection locked="0"/>
    </xf>
    <xf numFmtId="0" fontId="68" fillId="0" borderId="0" xfId="0" applyFont="1" applyAlignment="1" applyProtection="1">
      <alignment horizontal="left" vertical="center" indent="3"/>
      <protection locked="0"/>
    </xf>
    <xf numFmtId="43" fontId="9" fillId="0" borderId="0" xfId="1" applyNumberFormat="1" applyFont="1" applyAlignment="1">
      <alignment vertical="center"/>
    </xf>
    <xf numFmtId="43" fontId="49" fillId="0" borderId="0" xfId="1" applyNumberFormat="1" applyFont="1" applyAlignment="1">
      <alignment vertical="center"/>
    </xf>
    <xf numFmtId="0" fontId="54" fillId="0" borderId="0" xfId="0" applyFont="1"/>
    <xf numFmtId="0" fontId="40" fillId="33" borderId="0" xfId="0" applyFont="1" applyFill="1" applyAlignment="1">
      <alignment vertical="center"/>
    </xf>
    <xf numFmtId="2" fontId="68" fillId="27" borderId="0" xfId="0" applyNumberFormat="1" applyFont="1" applyFill="1" applyAlignment="1" applyProtection="1">
      <alignment vertical="center"/>
      <protection locked="0"/>
    </xf>
    <xf numFmtId="2" fontId="68" fillId="27" borderId="0" xfId="0" applyNumberFormat="1" applyFont="1" applyFill="1" applyAlignment="1">
      <alignment vertical="center"/>
    </xf>
    <xf numFmtId="2" fontId="68" fillId="0" borderId="0" xfId="0" applyNumberFormat="1" applyFont="1" applyAlignment="1" applyProtection="1">
      <alignment vertical="center"/>
      <protection locked="0"/>
    </xf>
    <xf numFmtId="2" fontId="68" fillId="0" borderId="0" xfId="0" applyNumberFormat="1" applyFont="1" applyAlignment="1">
      <alignment vertical="center"/>
    </xf>
    <xf numFmtId="0" fontId="68" fillId="0" borderId="0" xfId="0" applyFont="1" applyFill="1" applyAlignment="1">
      <alignment vertical="center"/>
    </xf>
    <xf numFmtId="3" fontId="85" fillId="0" borderId="33" xfId="0" applyNumberFormat="1" applyFont="1" applyFill="1" applyBorder="1" applyAlignment="1">
      <alignment horizontal="right" vertical="center"/>
    </xf>
    <xf numFmtId="3" fontId="85" fillId="0" borderId="20" xfId="0" applyNumberFormat="1" applyFont="1" applyFill="1" applyBorder="1" applyAlignment="1">
      <alignment horizontal="right" vertical="center"/>
    </xf>
    <xf numFmtId="3" fontId="85" fillId="0" borderId="34" xfId="0" applyNumberFormat="1" applyFont="1" applyFill="1" applyBorder="1" applyAlignment="1">
      <alignment horizontal="right" vertical="center"/>
    </xf>
    <xf numFmtId="3" fontId="85" fillId="0" borderId="32" xfId="0" applyNumberFormat="1" applyFont="1" applyFill="1" applyBorder="1" applyAlignment="1">
      <alignment horizontal="right" vertical="center"/>
    </xf>
    <xf numFmtId="3" fontId="85" fillId="0" borderId="25" xfId="0" applyNumberFormat="1" applyFont="1" applyFill="1" applyBorder="1" applyAlignment="1">
      <alignment horizontal="right" vertical="center"/>
    </xf>
    <xf numFmtId="3" fontId="85" fillId="0" borderId="0" xfId="0" applyNumberFormat="1" applyFont="1" applyFill="1" applyBorder="1" applyAlignment="1">
      <alignment horizontal="right" vertical="center"/>
    </xf>
    <xf numFmtId="3" fontId="85" fillId="0" borderId="30" xfId="0" applyNumberFormat="1" applyFont="1" applyFill="1" applyBorder="1" applyAlignment="1">
      <alignment horizontal="right" vertical="center"/>
    </xf>
    <xf numFmtId="3" fontId="85" fillId="0" borderId="36" xfId="0" applyNumberFormat="1" applyFont="1" applyFill="1" applyBorder="1" applyAlignment="1">
      <alignment horizontal="right" vertical="center"/>
    </xf>
    <xf numFmtId="3" fontId="45" fillId="0" borderId="27" xfId="115" applyNumberFormat="1" applyFont="1" applyFill="1" applyBorder="1" applyAlignment="1" applyProtection="1">
      <alignment horizontal="right" vertical="center"/>
    </xf>
    <xf numFmtId="3" fontId="45" fillId="0" borderId="11" xfId="115" applyNumberFormat="1" applyFont="1" applyFill="1" applyBorder="1" applyAlignment="1" applyProtection="1">
      <alignment horizontal="right" vertical="center"/>
    </xf>
    <xf numFmtId="3" fontId="45" fillId="0" borderId="26" xfId="115" applyNumberFormat="1" applyFont="1" applyFill="1" applyBorder="1" applyAlignment="1" applyProtection="1">
      <alignment horizontal="right" vertical="center"/>
    </xf>
    <xf numFmtId="3" fontId="45" fillId="0" borderId="35" xfId="115" applyNumberFormat="1" applyFont="1" applyFill="1" applyBorder="1" applyAlignment="1" applyProtection="1">
      <alignment horizontal="right" vertical="center"/>
    </xf>
    <xf numFmtId="3" fontId="85" fillId="0" borderId="28" xfId="0" applyNumberFormat="1" applyFont="1" applyFill="1" applyBorder="1" applyAlignment="1">
      <alignment horizontal="right" vertical="center"/>
    </xf>
    <xf numFmtId="3" fontId="85" fillId="0" borderId="21" xfId="0" applyNumberFormat="1" applyFont="1" applyFill="1" applyBorder="1" applyAlignment="1">
      <alignment horizontal="right" vertical="center"/>
    </xf>
    <xf numFmtId="3" fontId="85" fillId="0" borderId="29" xfId="0" applyNumberFormat="1" applyFont="1" applyFill="1" applyBorder="1" applyAlignment="1">
      <alignment horizontal="right" vertical="center"/>
    </xf>
    <xf numFmtId="3" fontId="85" fillId="0" borderId="31" xfId="0" applyNumberFormat="1" applyFont="1" applyFill="1" applyBorder="1" applyAlignment="1">
      <alignment horizontal="right" vertical="center"/>
    </xf>
    <xf numFmtId="14" fontId="86" fillId="0" borderId="33" xfId="113" quotePrefix="1" applyNumberFormat="1" applyFont="1" applyBorder="1" applyAlignment="1" applyProtection="1">
      <alignment horizontal="right" vertical="center"/>
    </xf>
    <xf numFmtId="14" fontId="86" fillId="0" borderId="20" xfId="113" quotePrefix="1" applyNumberFormat="1" applyFont="1" applyBorder="1" applyAlignment="1" applyProtection="1">
      <alignment horizontal="right" vertical="center"/>
    </xf>
    <xf numFmtId="14" fontId="86" fillId="0" borderId="34" xfId="113" quotePrefix="1" applyNumberFormat="1" applyFont="1" applyBorder="1" applyAlignment="1" applyProtection="1">
      <alignment horizontal="right" vertical="center"/>
    </xf>
    <xf numFmtId="0" fontId="86" fillId="0" borderId="32" xfId="113" applyFont="1" applyFill="1" applyBorder="1" applyAlignment="1" applyProtection="1">
      <alignment horizontal="right" vertical="center"/>
    </xf>
    <xf numFmtId="0" fontId="86" fillId="0" borderId="28" xfId="113" applyFont="1" applyBorder="1" applyAlignment="1" applyProtection="1">
      <alignment horizontal="center" vertical="center" wrapText="1"/>
    </xf>
    <xf numFmtId="0" fontId="86" fillId="0" borderId="21" xfId="113" applyFont="1" applyBorder="1" applyAlignment="1" applyProtection="1">
      <alignment horizontal="center" vertical="center" wrapText="1"/>
    </xf>
    <xf numFmtId="0" fontId="86" fillId="0" borderId="29" xfId="113" applyFont="1" applyBorder="1" applyAlignment="1" applyProtection="1">
      <alignment horizontal="center" vertical="center" wrapText="1"/>
    </xf>
    <xf numFmtId="0" fontId="86" fillId="0" borderId="31" xfId="113" applyFont="1" applyFill="1" applyBorder="1" applyAlignment="1" applyProtection="1">
      <alignment horizontal="center" vertical="center" wrapText="1"/>
    </xf>
    <xf numFmtId="0" fontId="86" fillId="0" borderId="33" xfId="113" applyFont="1" applyBorder="1" applyAlignment="1" applyProtection="1">
      <alignment vertical="center"/>
    </xf>
    <xf numFmtId="0" fontId="86" fillId="0" borderId="25" xfId="113" applyFont="1" applyBorder="1" applyAlignment="1" applyProtection="1">
      <alignment vertical="center"/>
    </xf>
    <xf numFmtId="3" fontId="87" fillId="0" borderId="27" xfId="115" applyNumberFormat="1" applyFont="1" applyFill="1" applyBorder="1" applyAlignment="1" applyProtection="1">
      <alignment vertical="center"/>
    </xf>
    <xf numFmtId="0" fontId="86" fillId="0" borderId="0" xfId="113" applyFont="1" applyBorder="1" applyAlignment="1" applyProtection="1">
      <alignment vertical="center"/>
    </xf>
    <xf numFmtId="0" fontId="86" fillId="0" borderId="33" xfId="113" applyFont="1" applyFill="1" applyBorder="1" applyAlignment="1" applyProtection="1">
      <alignment vertical="center"/>
    </xf>
    <xf numFmtId="0" fontId="88" fillId="0" borderId="25" xfId="113" applyFont="1" applyFill="1" applyBorder="1" applyAlignment="1" applyProtection="1">
      <alignment horizontal="left" vertical="center" wrapText="1"/>
    </xf>
    <xf numFmtId="0" fontId="88" fillId="0" borderId="25" xfId="113" applyFont="1" applyFill="1" applyBorder="1" applyAlignment="1" applyProtection="1">
      <alignment vertical="center"/>
    </xf>
    <xf numFmtId="0" fontId="88" fillId="0" borderId="25" xfId="113" applyFont="1" applyFill="1" applyBorder="1" applyAlignment="1" applyProtection="1">
      <alignment vertical="center" wrapText="1"/>
    </xf>
    <xf numFmtId="0" fontId="88" fillId="0" borderId="28" xfId="113" applyFont="1" applyFill="1" applyBorder="1" applyAlignment="1" applyProtection="1">
      <alignment vertical="center" wrapText="1"/>
    </xf>
    <xf numFmtId="14" fontId="86" fillId="0" borderId="32" xfId="113" quotePrefix="1" applyNumberFormat="1" applyFont="1" applyBorder="1" applyAlignment="1" applyProtection="1">
      <alignment horizontal="right" vertical="center"/>
    </xf>
    <xf numFmtId="0" fontId="86" fillId="0" borderId="31" xfId="113" applyFont="1" applyBorder="1" applyAlignment="1" applyProtection="1">
      <alignment horizontal="center" vertical="center" wrapText="1"/>
    </xf>
    <xf numFmtId="0" fontId="58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3" fontId="89" fillId="0" borderId="25" xfId="0" applyNumberFormat="1" applyFont="1" applyFill="1" applyBorder="1" applyAlignment="1">
      <alignment vertical="center"/>
    </xf>
    <xf numFmtId="3" fontId="89" fillId="0" borderId="20" xfId="0" applyNumberFormat="1" applyFont="1" applyFill="1" applyBorder="1" applyAlignment="1">
      <alignment vertical="center"/>
    </xf>
    <xf numFmtId="3" fontId="89" fillId="0" borderId="34" xfId="0" applyNumberFormat="1" applyFont="1" applyFill="1" applyBorder="1" applyAlignment="1">
      <alignment vertical="center"/>
    </xf>
    <xf numFmtId="3" fontId="89" fillId="0" borderId="36" xfId="0" applyNumberFormat="1" applyFont="1" applyFill="1" applyBorder="1" applyAlignment="1">
      <alignment vertical="center"/>
    </xf>
    <xf numFmtId="3" fontId="89" fillId="0" borderId="0" xfId="0" applyNumberFormat="1" applyFont="1" applyFill="1" applyBorder="1" applyAlignment="1">
      <alignment vertical="center"/>
    </xf>
    <xf numFmtId="3" fontId="89" fillId="0" borderId="30" xfId="0" applyNumberFormat="1" applyFont="1" applyFill="1" applyBorder="1" applyAlignment="1">
      <alignment vertical="center"/>
    </xf>
    <xf numFmtId="3" fontId="90" fillId="0" borderId="27" xfId="115" applyNumberFormat="1" applyFont="1" applyFill="1" applyBorder="1" applyAlignment="1" applyProtection="1">
      <alignment vertical="center"/>
    </xf>
    <xf numFmtId="3" fontId="90" fillId="0" borderId="11" xfId="115" applyNumberFormat="1" applyFont="1" applyFill="1" applyBorder="1" applyAlignment="1" applyProtection="1">
      <alignment vertical="center"/>
    </xf>
    <xf numFmtId="3" fontId="90" fillId="0" borderId="26" xfId="115" applyNumberFormat="1" applyFont="1" applyFill="1" applyBorder="1" applyAlignment="1" applyProtection="1">
      <alignment vertical="center"/>
    </xf>
    <xf numFmtId="3" fontId="90" fillId="0" borderId="35" xfId="115" applyNumberFormat="1" applyFont="1" applyFill="1" applyBorder="1" applyAlignment="1" applyProtection="1">
      <alignment vertical="center"/>
    </xf>
    <xf numFmtId="182" fontId="89" fillId="0" borderId="25" xfId="0" applyNumberFormat="1" applyFont="1" applyFill="1" applyBorder="1" applyAlignment="1">
      <alignment vertical="center"/>
    </xf>
    <xf numFmtId="182" fontId="89" fillId="0" borderId="0" xfId="0" applyNumberFormat="1" applyFont="1" applyFill="1" applyBorder="1" applyAlignment="1">
      <alignment vertical="center"/>
    </xf>
    <xf numFmtId="182" fontId="89" fillId="0" borderId="30" xfId="0" applyNumberFormat="1" applyFont="1" applyFill="1" applyBorder="1" applyAlignment="1">
      <alignment vertical="center"/>
    </xf>
    <xf numFmtId="182" fontId="89" fillId="0" borderId="36" xfId="0" applyNumberFormat="1" applyFont="1" applyFill="1" applyBorder="1" applyAlignment="1">
      <alignment vertical="center"/>
    </xf>
    <xf numFmtId="3" fontId="89" fillId="0" borderId="28" xfId="0" applyNumberFormat="1" applyFont="1" applyFill="1" applyBorder="1" applyAlignment="1">
      <alignment vertical="center"/>
    </xf>
    <xf numFmtId="3" fontId="89" fillId="0" borderId="21" xfId="0" applyNumberFormat="1" applyFont="1" applyFill="1" applyBorder="1" applyAlignment="1">
      <alignment vertical="center"/>
    </xf>
    <xf numFmtId="3" fontId="89" fillId="0" borderId="29" xfId="0" applyNumberFormat="1" applyFont="1" applyFill="1" applyBorder="1" applyAlignment="1">
      <alignment vertical="center"/>
    </xf>
    <xf numFmtId="3" fontId="89" fillId="0" borderId="31" xfId="0" applyNumberFormat="1" applyFont="1" applyFill="1" applyBorder="1" applyAlignment="1">
      <alignment vertical="center"/>
    </xf>
    <xf numFmtId="179" fontId="89" fillId="0" borderId="33" xfId="0" applyNumberFormat="1" applyFont="1" applyFill="1" applyBorder="1" applyAlignment="1">
      <alignment vertical="center"/>
    </xf>
    <xf numFmtId="179" fontId="89" fillId="0" borderId="20" xfId="0" applyNumberFormat="1" applyFont="1" applyFill="1" applyBorder="1" applyAlignment="1">
      <alignment vertical="center"/>
    </xf>
    <xf numFmtId="179" fontId="89" fillId="0" borderId="34" xfId="0" applyNumberFormat="1" applyFont="1" applyFill="1" applyBorder="1" applyAlignment="1">
      <alignment vertical="center"/>
    </xf>
    <xf numFmtId="179" fontId="89" fillId="0" borderId="32" xfId="0" applyNumberFormat="1" applyFont="1" applyFill="1" applyBorder="1" applyAlignment="1">
      <alignment vertical="center"/>
    </xf>
    <xf numFmtId="179" fontId="89" fillId="0" borderId="25" xfId="0" applyNumberFormat="1" applyFont="1" applyFill="1" applyBorder="1" applyAlignment="1">
      <alignment vertical="center"/>
    </xf>
    <xf numFmtId="179" fontId="89" fillId="0" borderId="0" xfId="0" applyNumberFormat="1" applyFont="1" applyFill="1" applyBorder="1" applyAlignment="1">
      <alignment vertical="center"/>
    </xf>
    <xf numFmtId="179" fontId="89" fillId="0" borderId="30" xfId="0" applyNumberFormat="1" applyFont="1" applyFill="1" applyBorder="1" applyAlignment="1">
      <alignment vertical="center"/>
    </xf>
    <xf numFmtId="179" fontId="89" fillId="0" borderId="36" xfId="0" applyNumberFormat="1" applyFont="1" applyFill="1" applyBorder="1" applyAlignment="1">
      <alignment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179" fontId="4" fillId="0" borderId="26" xfId="0" applyNumberFormat="1" applyFont="1" applyFill="1" applyBorder="1" applyAlignment="1">
      <alignment vertical="center"/>
    </xf>
    <xf numFmtId="179" fontId="4" fillId="0" borderId="35" xfId="0" applyNumberFormat="1" applyFont="1" applyFill="1" applyBorder="1" applyAlignment="1">
      <alignment vertical="center"/>
    </xf>
    <xf numFmtId="0" fontId="89" fillId="0" borderId="28" xfId="0" applyFont="1" applyFill="1" applyBorder="1" applyAlignment="1">
      <alignment vertical="center"/>
    </xf>
    <xf numFmtId="0" fontId="89" fillId="0" borderId="21" xfId="0" applyFont="1" applyFill="1" applyBorder="1" applyAlignment="1">
      <alignment vertical="center"/>
    </xf>
    <xf numFmtId="0" fontId="89" fillId="0" borderId="29" xfId="0" applyFont="1" applyFill="1" applyBorder="1" applyAlignment="1">
      <alignment vertical="center"/>
    </xf>
    <xf numFmtId="0" fontId="89" fillId="0" borderId="31" xfId="0" applyFont="1" applyFill="1" applyBorder="1" applyAlignment="1">
      <alignment vertical="center"/>
    </xf>
    <xf numFmtId="14" fontId="91" fillId="0" borderId="33" xfId="113" quotePrefix="1" applyNumberFormat="1" applyFont="1" applyBorder="1" applyAlignment="1" applyProtection="1">
      <alignment horizontal="right" vertical="center"/>
    </xf>
    <xf numFmtId="14" fontId="91" fillId="0" borderId="20" xfId="113" quotePrefix="1" applyNumberFormat="1" applyFont="1" applyBorder="1" applyAlignment="1" applyProtection="1">
      <alignment horizontal="right" vertical="center"/>
    </xf>
    <xf numFmtId="14" fontId="91" fillId="0" borderId="34" xfId="113" quotePrefix="1" applyNumberFormat="1" applyFont="1" applyBorder="1" applyAlignment="1" applyProtection="1">
      <alignment horizontal="right" vertical="center"/>
    </xf>
    <xf numFmtId="0" fontId="91" fillId="0" borderId="32" xfId="113" applyFont="1" applyFill="1" applyBorder="1" applyAlignment="1" applyProtection="1">
      <alignment horizontal="right" vertical="center"/>
    </xf>
    <xf numFmtId="0" fontId="91" fillId="0" borderId="28" xfId="113" applyFont="1" applyBorder="1" applyAlignment="1" applyProtection="1">
      <alignment horizontal="right" vertical="center" wrapText="1"/>
    </xf>
    <xf numFmtId="0" fontId="91" fillId="0" borderId="21" xfId="113" applyFont="1" applyBorder="1" applyAlignment="1" applyProtection="1">
      <alignment horizontal="right" vertical="center" wrapText="1"/>
    </xf>
    <xf numFmtId="0" fontId="91" fillId="0" borderId="29" xfId="113" applyFont="1" applyBorder="1" applyAlignment="1" applyProtection="1">
      <alignment horizontal="right" vertical="center" wrapText="1"/>
    </xf>
    <xf numFmtId="0" fontId="91" fillId="0" borderId="31" xfId="113" applyFont="1" applyFill="1" applyBorder="1" applyAlignment="1" applyProtection="1">
      <alignment horizontal="right" vertical="center" wrapText="1"/>
    </xf>
    <xf numFmtId="3" fontId="91" fillId="0" borderId="33" xfId="115" applyNumberFormat="1" applyFont="1" applyBorder="1" applyAlignment="1" applyProtection="1">
      <alignment vertical="center"/>
    </xf>
    <xf numFmtId="3" fontId="91" fillId="0" borderId="25" xfId="115" applyNumberFormat="1" applyFont="1" applyBorder="1" applyAlignment="1" applyProtection="1">
      <alignment vertical="center"/>
    </xf>
    <xf numFmtId="3" fontId="91" fillId="0" borderId="28" xfId="115" applyNumberFormat="1" applyFont="1" applyBorder="1" applyAlignment="1" applyProtection="1">
      <alignment vertical="center"/>
    </xf>
    <xf numFmtId="3" fontId="92" fillId="0" borderId="28" xfId="115" applyNumberFormat="1" applyFont="1" applyFill="1" applyBorder="1" applyAlignment="1" applyProtection="1">
      <alignment vertical="center"/>
    </xf>
    <xf numFmtId="182" fontId="91" fillId="0" borderId="25" xfId="115" applyNumberFormat="1" applyFont="1" applyBorder="1" applyAlignment="1" applyProtection="1">
      <alignment vertical="center"/>
    </xf>
    <xf numFmtId="0" fontId="91" fillId="0" borderId="33" xfId="0" applyFont="1" applyBorder="1" applyAlignment="1" applyProtection="1">
      <alignment vertical="center"/>
    </xf>
    <xf numFmtId="0" fontId="91" fillId="0" borderId="25" xfId="0" applyFont="1" applyBorder="1" applyAlignment="1" applyProtection="1">
      <alignment vertical="center"/>
    </xf>
    <xf numFmtId="0" fontId="91" fillId="0" borderId="28" xfId="0" applyFont="1" applyBorder="1" applyAlignment="1" applyProtection="1">
      <alignment vertical="center"/>
    </xf>
    <xf numFmtId="0" fontId="92" fillId="0" borderId="28" xfId="0" applyFont="1" applyFill="1" applyBorder="1" applyAlignment="1" applyProtection="1">
      <alignment vertical="center"/>
    </xf>
    <xf numFmtId="0" fontId="92" fillId="0" borderId="33" xfId="0" applyFont="1" applyFill="1" applyBorder="1" applyAlignment="1" applyProtection="1">
      <alignment vertical="center"/>
    </xf>
    <xf numFmtId="14" fontId="91" fillId="0" borderId="32" xfId="113" quotePrefix="1" applyNumberFormat="1" applyFont="1" applyBorder="1" applyAlignment="1" applyProtection="1">
      <alignment horizontal="right" vertical="center"/>
    </xf>
    <xf numFmtId="0" fontId="91" fillId="0" borderId="31" xfId="113" applyFont="1" applyBorder="1" applyAlignment="1" applyProtection="1">
      <alignment horizontal="right" vertical="center" wrapText="1"/>
    </xf>
    <xf numFmtId="3" fontId="89" fillId="0" borderId="32" xfId="0" applyNumberFormat="1" applyFont="1" applyFill="1" applyBorder="1" applyAlignment="1">
      <alignment vertical="center"/>
    </xf>
    <xf numFmtId="180" fontId="68" fillId="0" borderId="0" xfId="0" applyNumberFormat="1" applyFont="1" applyFill="1" applyAlignment="1">
      <alignment vertical="center"/>
    </xf>
    <xf numFmtId="183" fontId="68" fillId="0" borderId="0" xfId="0" applyNumberFormat="1" applyFont="1" applyFill="1" applyAlignment="1">
      <alignment horizontal="left" vertical="center"/>
    </xf>
    <xf numFmtId="183" fontId="68" fillId="0" borderId="0" xfId="0" applyNumberFormat="1" applyFont="1" applyFill="1" applyAlignment="1">
      <alignment vertical="center"/>
    </xf>
    <xf numFmtId="14" fontId="86" fillId="0" borderId="20" xfId="113" quotePrefix="1" applyNumberFormat="1" applyFont="1" applyBorder="1" applyAlignment="1" applyProtection="1">
      <alignment horizontal="center" vertical="center" wrapText="1"/>
    </xf>
    <xf numFmtId="14" fontId="86" fillId="0" borderId="33" xfId="113" quotePrefix="1" applyNumberFormat="1" applyFont="1" applyBorder="1" applyAlignment="1" applyProtection="1">
      <alignment horizontal="center" vertical="center" wrapText="1"/>
    </xf>
    <xf numFmtId="14" fontId="86" fillId="0" borderId="34" xfId="113" quotePrefix="1" applyNumberFormat="1" applyFont="1" applyBorder="1" applyAlignment="1" applyProtection="1">
      <alignment horizontal="center" vertical="center" wrapText="1"/>
    </xf>
    <xf numFmtId="0" fontId="86" fillId="0" borderId="32" xfId="113" applyFont="1" applyFill="1" applyBorder="1" applyAlignment="1" applyProtection="1">
      <alignment horizontal="center" vertical="center" wrapText="1"/>
    </xf>
    <xf numFmtId="180" fontId="45" fillId="0" borderId="11" xfId="115" applyNumberFormat="1" applyFont="1" applyFill="1" applyBorder="1" applyAlignment="1" applyProtection="1">
      <alignment horizontal="right" vertical="center"/>
    </xf>
    <xf numFmtId="180" fontId="45" fillId="0" borderId="27" xfId="115" applyNumberFormat="1" applyFont="1" applyFill="1" applyBorder="1" applyAlignment="1" applyProtection="1">
      <alignment horizontal="right" vertical="center"/>
    </xf>
    <xf numFmtId="180" fontId="45" fillId="0" borderId="26" xfId="115" applyNumberFormat="1" applyFont="1" applyFill="1" applyBorder="1" applyAlignment="1" applyProtection="1">
      <alignment horizontal="right" vertical="center"/>
    </xf>
    <xf numFmtId="180" fontId="45" fillId="0" borderId="35" xfId="115" applyNumberFormat="1" applyFont="1" applyFill="1" applyBorder="1" applyAlignment="1" applyProtection="1">
      <alignment horizontal="right" vertical="center"/>
    </xf>
    <xf numFmtId="180" fontId="85" fillId="0" borderId="40" xfId="0" applyNumberFormat="1" applyFont="1" applyFill="1" applyBorder="1" applyAlignment="1">
      <alignment horizontal="right" vertical="center"/>
    </xf>
    <xf numFmtId="180" fontId="85" fillId="0" borderId="41" xfId="0" applyNumberFormat="1" applyFont="1" applyFill="1" applyBorder="1" applyAlignment="1">
      <alignment horizontal="right" vertical="center"/>
    </xf>
    <xf numFmtId="180" fontId="85" fillId="0" borderId="43" xfId="0" applyNumberFormat="1" applyFont="1" applyFill="1" applyBorder="1" applyAlignment="1">
      <alignment horizontal="right" vertical="center"/>
    </xf>
    <xf numFmtId="180" fontId="85" fillId="0" borderId="42" xfId="0" applyNumberFormat="1" applyFont="1" applyFill="1" applyBorder="1" applyAlignment="1">
      <alignment horizontal="right" vertical="center"/>
    </xf>
    <xf numFmtId="180" fontId="85" fillId="0" borderId="0" xfId="0" applyNumberFormat="1" applyFont="1" applyFill="1" applyBorder="1" applyAlignment="1">
      <alignment horizontal="right" vertical="center"/>
    </xf>
    <xf numFmtId="180" fontId="85" fillId="0" borderId="30" xfId="0" applyNumberFormat="1" applyFont="1" applyFill="1" applyBorder="1" applyAlignment="1">
      <alignment horizontal="right" vertical="center"/>
    </xf>
    <xf numFmtId="180" fontId="85" fillId="0" borderId="25" xfId="0" applyNumberFormat="1" applyFont="1" applyFill="1" applyBorder="1" applyAlignment="1">
      <alignment horizontal="right" vertical="center"/>
    </xf>
    <xf numFmtId="180" fontId="85" fillId="0" borderId="36" xfId="0" applyNumberFormat="1" applyFont="1" applyFill="1" applyBorder="1" applyAlignment="1">
      <alignment horizontal="right" vertical="center"/>
    </xf>
    <xf numFmtId="180" fontId="93" fillId="0" borderId="0" xfId="0" applyNumberFormat="1" applyFont="1" applyFill="1" applyBorder="1" applyAlignment="1">
      <alignment horizontal="right" vertical="center"/>
    </xf>
    <xf numFmtId="180" fontId="93" fillId="0" borderId="30" xfId="0" applyNumberFormat="1" applyFont="1" applyFill="1" applyBorder="1" applyAlignment="1">
      <alignment horizontal="right" vertical="center"/>
    </xf>
    <xf numFmtId="180" fontId="93" fillId="0" borderId="25" xfId="0" applyNumberFormat="1" applyFont="1" applyFill="1" applyBorder="1" applyAlignment="1">
      <alignment horizontal="right" vertical="center"/>
    </xf>
    <xf numFmtId="180" fontId="93" fillId="0" borderId="36" xfId="0" applyNumberFormat="1" applyFont="1" applyFill="1" applyBorder="1" applyAlignment="1">
      <alignment horizontal="right" vertical="center"/>
    </xf>
    <xf numFmtId="180" fontId="93" fillId="0" borderId="46" xfId="0" applyNumberFormat="1" applyFont="1" applyFill="1" applyBorder="1" applyAlignment="1">
      <alignment horizontal="right" vertical="center"/>
    </xf>
    <xf numFmtId="180" fontId="93" fillId="0" borderId="47" xfId="0" applyNumberFormat="1" applyFont="1" applyFill="1" applyBorder="1" applyAlignment="1">
      <alignment horizontal="right" vertical="center"/>
    </xf>
    <xf numFmtId="180" fontId="93" fillId="0" borderId="49" xfId="0" applyNumberFormat="1" applyFont="1" applyFill="1" applyBorder="1" applyAlignment="1">
      <alignment horizontal="right" vertical="center"/>
    </xf>
    <xf numFmtId="180" fontId="93" fillId="0" borderId="48" xfId="0" applyNumberFormat="1" applyFont="1" applyFill="1" applyBorder="1" applyAlignment="1">
      <alignment horizontal="right" vertical="center"/>
    </xf>
    <xf numFmtId="180" fontId="85" fillId="0" borderId="46" xfId="0" applyNumberFormat="1" applyFont="1" applyFill="1" applyBorder="1" applyAlignment="1">
      <alignment horizontal="right" vertical="center"/>
    </xf>
    <xf numFmtId="180" fontId="85" fillId="0" borderId="47" xfId="0" applyNumberFormat="1" applyFont="1" applyFill="1" applyBorder="1" applyAlignment="1">
      <alignment horizontal="right" vertical="center"/>
    </xf>
    <xf numFmtId="180" fontId="85" fillId="0" borderId="49" xfId="0" applyNumberFormat="1" applyFont="1" applyFill="1" applyBorder="1" applyAlignment="1">
      <alignment horizontal="right" vertical="center"/>
    </xf>
    <xf numFmtId="180" fontId="85" fillId="0" borderId="48" xfId="0" applyNumberFormat="1" applyFont="1" applyFill="1" applyBorder="1" applyAlignment="1">
      <alignment horizontal="right" vertical="center"/>
    </xf>
    <xf numFmtId="3" fontId="94" fillId="0" borderId="30" xfId="0" applyNumberFormat="1" applyFont="1" applyFill="1" applyBorder="1" applyAlignment="1">
      <alignment horizontal="right" vertical="center"/>
    </xf>
    <xf numFmtId="183" fontId="85" fillId="0" borderId="0" xfId="0" applyNumberFormat="1" applyFont="1" applyFill="1" applyBorder="1" applyAlignment="1">
      <alignment vertical="center"/>
    </xf>
    <xf numFmtId="183" fontId="85" fillId="0" borderId="30" xfId="0" applyNumberFormat="1" applyFont="1" applyFill="1" applyBorder="1" applyAlignment="1">
      <alignment vertical="center"/>
    </xf>
    <xf numFmtId="183" fontId="48" fillId="0" borderId="11" xfId="0" applyNumberFormat="1" applyFont="1" applyFill="1" applyBorder="1" applyAlignment="1">
      <alignment vertical="center"/>
    </xf>
    <xf numFmtId="183" fontId="48" fillId="0" borderId="26" xfId="0" applyNumberFormat="1" applyFont="1" applyFill="1" applyBorder="1" applyAlignment="1">
      <alignment vertical="center"/>
    </xf>
    <xf numFmtId="183" fontId="48" fillId="0" borderId="35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>
      <alignment vertical="center"/>
    </xf>
    <xf numFmtId="3" fontId="85" fillId="0" borderId="30" xfId="0" applyNumberFormat="1" applyFont="1" applyFill="1" applyBorder="1" applyAlignment="1">
      <alignment vertical="center"/>
    </xf>
    <xf numFmtId="183" fontId="85" fillId="0" borderId="36" xfId="0" applyNumberFormat="1" applyFont="1" applyFill="1" applyBorder="1" applyAlignment="1">
      <alignment vertical="center"/>
    </xf>
    <xf numFmtId="3" fontId="85" fillId="0" borderId="36" xfId="0" applyNumberFormat="1" applyFont="1" applyFill="1" applyBorder="1" applyAlignment="1">
      <alignment vertical="center"/>
    </xf>
    <xf numFmtId="183" fontId="86" fillId="0" borderId="32" xfId="0" applyNumberFormat="1" applyFont="1" applyBorder="1" applyAlignment="1" applyProtection="1">
      <alignment vertical="center"/>
    </xf>
    <xf numFmtId="183" fontId="86" fillId="0" borderId="36" xfId="0" applyNumberFormat="1" applyFont="1" applyBorder="1" applyAlignment="1" applyProtection="1">
      <alignment vertical="center"/>
    </xf>
    <xf numFmtId="183" fontId="87" fillId="0" borderId="35" xfId="0" applyNumberFormat="1" applyFont="1" applyFill="1" applyBorder="1" applyAlignment="1" applyProtection="1">
      <alignment vertical="center"/>
    </xf>
    <xf numFmtId="0" fontId="87" fillId="0" borderId="32" xfId="0" applyFont="1" applyFill="1" applyBorder="1" applyAlignment="1" applyProtection="1">
      <alignment vertical="center"/>
    </xf>
    <xf numFmtId="0" fontId="87" fillId="0" borderId="31" xfId="0" applyFont="1" applyFill="1" applyBorder="1" applyAlignment="1" applyProtection="1">
      <alignment vertical="center"/>
    </xf>
    <xf numFmtId="0" fontId="87" fillId="0" borderId="32" xfId="115" applyFont="1" applyBorder="1" applyAlignment="1" applyProtection="1">
      <alignment horizontal="center" vertical="center"/>
    </xf>
    <xf numFmtId="0" fontId="86" fillId="0" borderId="32" xfId="115" applyFont="1" applyBorder="1" applyAlignment="1" applyProtection="1">
      <alignment vertical="center"/>
    </xf>
    <xf numFmtId="0" fontId="87" fillId="0" borderId="36" xfId="115" applyFont="1" applyBorder="1" applyAlignment="1" applyProtection="1">
      <alignment horizontal="center" vertical="center"/>
    </xf>
    <xf numFmtId="0" fontId="86" fillId="0" borderId="36" xfId="115" applyFont="1" applyBorder="1" applyAlignment="1" applyProtection="1">
      <alignment vertical="center"/>
    </xf>
    <xf numFmtId="0" fontId="87" fillId="0" borderId="36" xfId="115" quotePrefix="1" applyFont="1" applyBorder="1" applyAlignment="1" applyProtection="1">
      <alignment horizontal="center" vertical="center"/>
    </xf>
    <xf numFmtId="3" fontId="87" fillId="0" borderId="35" xfId="115" applyNumberFormat="1" applyFont="1" applyFill="1" applyBorder="1" applyAlignment="1" applyProtection="1">
      <alignment vertical="center"/>
    </xf>
    <xf numFmtId="180" fontId="87" fillId="0" borderId="38" xfId="115" applyNumberFormat="1" applyFont="1" applyBorder="1" applyAlignment="1" applyProtection="1">
      <alignment vertical="center"/>
    </xf>
    <xf numFmtId="180" fontId="86" fillId="0" borderId="39" xfId="115" applyNumberFormat="1" applyFont="1" applyBorder="1" applyAlignment="1" applyProtection="1">
      <alignment vertical="center"/>
    </xf>
    <xf numFmtId="180" fontId="87" fillId="0" borderId="36" xfId="115" applyNumberFormat="1" applyFont="1" applyBorder="1" applyAlignment="1" applyProtection="1">
      <alignment vertical="center"/>
    </xf>
    <xf numFmtId="180" fontId="86" fillId="0" borderId="23" xfId="115" applyNumberFormat="1" applyFont="1" applyFill="1" applyBorder="1" applyAlignment="1" applyProtection="1">
      <alignment vertical="center"/>
    </xf>
    <xf numFmtId="180" fontId="95" fillId="0" borderId="36" xfId="115" applyNumberFormat="1" applyFont="1" applyBorder="1" applyAlignment="1" applyProtection="1">
      <alignment vertical="center"/>
    </xf>
    <xf numFmtId="180" fontId="88" fillId="0" borderId="23" xfId="115" applyNumberFormat="1" applyFont="1" applyFill="1" applyBorder="1" applyAlignment="1" applyProtection="1">
      <alignment horizontal="right" vertical="center"/>
    </xf>
    <xf numFmtId="180" fontId="95" fillId="0" borderId="44" xfId="115" applyNumberFormat="1" applyFont="1" applyBorder="1" applyAlignment="1" applyProtection="1">
      <alignment vertical="center"/>
    </xf>
    <xf numFmtId="180" fontId="88" fillId="0" borderId="45" xfId="115" applyNumberFormat="1" applyFont="1" applyBorder="1" applyAlignment="1" applyProtection="1">
      <alignment horizontal="right" vertical="center"/>
    </xf>
    <xf numFmtId="180" fontId="86" fillId="0" borderId="23" xfId="115" applyNumberFormat="1" applyFont="1" applyBorder="1" applyAlignment="1" applyProtection="1">
      <alignment vertical="center"/>
    </xf>
    <xf numFmtId="180" fontId="88" fillId="0" borderId="23" xfId="115" applyNumberFormat="1" applyFont="1" applyBorder="1" applyAlignment="1" applyProtection="1">
      <alignment horizontal="right" vertical="center"/>
    </xf>
    <xf numFmtId="180" fontId="87" fillId="0" borderId="35" xfId="115" applyNumberFormat="1" applyFont="1" applyFill="1" applyBorder="1" applyAlignment="1" applyProtection="1">
      <alignment vertical="center"/>
    </xf>
    <xf numFmtId="180" fontId="87" fillId="0" borderId="22" xfId="115" applyNumberFormat="1" applyFont="1" applyFill="1" applyBorder="1" applyAlignment="1" applyProtection="1">
      <alignment vertical="center"/>
    </xf>
    <xf numFmtId="14" fontId="86" fillId="0" borderId="32" xfId="113" quotePrefix="1" applyNumberFormat="1" applyFont="1" applyBorder="1" applyAlignment="1" applyProtection="1">
      <alignment horizontal="center" vertical="center" wrapText="1"/>
    </xf>
  </cellXfs>
  <cellStyles count="158">
    <cellStyle name="_x0004_" xfId="2"/>
    <cellStyle name="_(Renewed Organization Chart) 2008 Sales Reforecast+2009 Sales Budget-20081124" xfId="3"/>
    <cellStyle name="_08年10月份完工未开票" xfId="4"/>
    <cellStyle name="_08年11月报表" xfId="5"/>
    <cellStyle name="_10月客户毛利表" xfId="6"/>
    <cellStyle name="_2007 EBITDA Estimated 25 01 08" xfId="7"/>
    <cellStyle name="_2007 EBITDA Estimated 25 01 08_CHINE rapp Equity AC0912" xfId="8"/>
    <cellStyle name="_2009 Sales Budget by Monthly" xfId="9"/>
    <cellStyle name="_2009 年10月份完工未开票 (1)" xfId="10"/>
    <cellStyle name="_2009 年7月份完工未开票(8月5日）" xfId="11"/>
    <cellStyle name="_2009 年8月份完工未开票" xfId="12"/>
    <cellStyle name="_2009 年9月份完工未开票" xfId="13"/>
    <cellStyle name="_2010 F" xfId="14"/>
    <cellStyle name="_6月报表" xfId="15"/>
    <cellStyle name="_6月报表_CHINE rapp Equity AC0912" xfId="16"/>
    <cellStyle name="_7月份HMY报表" xfId="17"/>
    <cellStyle name="_7月份HMY报表_CHINE rapp Equity AC0912" xfId="18"/>
    <cellStyle name="_Analysis for 2007 经营结果分析" xfId="19"/>
    <cellStyle name="_AR Provision 副本后续情况跟踪表" xfId="20"/>
    <cellStyle name="_AR Provision 副本后续情况跟踪表_CHINE rapp Equity AC0912" xfId="21"/>
    <cellStyle name="_Book1" xfId="22"/>
    <cellStyle name="_Book1_CHINE rapp Equity AC0912" xfId="23"/>
    <cellStyle name="_Book2" xfId="24"/>
    <cellStyle name="_Book2 (2)" xfId="25"/>
    <cellStyle name="_Book3" xfId="26"/>
    <cellStyle name="_Consol PL Feb" xfId="27"/>
    <cellStyle name="_Draft caculation-06" xfId="28"/>
    <cellStyle name="_Draft caculation-07" xfId="29"/>
    <cellStyle name="_Draft caculation-Apr" xfId="30"/>
    <cellStyle name="_Draft caculation-pavo-110308" xfId="31"/>
    <cellStyle name="_ET_STYLE_NoName_00_" xfId="32"/>
    <cellStyle name="_sce aging report (provided by management)" xfId="33"/>
    <cellStyle name="_sce aging report (provided by management)_CHINE rapp Equity AC0912" xfId="34"/>
    <cellStyle name="_SCE BS P&amp;L 110308" xfId="35"/>
    <cellStyle name="_SHE-0801-MMR v3" xfId="36"/>
    <cellStyle name="_SHE-销售预算jason-2010(10.26)" xfId="37"/>
    <cellStyle name="_年度同期分析报表May-06" xfId="38"/>
    <cellStyle name="_应收账款_AR_Balance" xfId="39"/>
    <cellStyle name="_开票销售收入_Invocing_Sales" xfId="40"/>
    <cellStyle name="_开票销售收入_Invocing_Sales V2" xfId="41"/>
    <cellStyle name="_报表" xfId="42"/>
    <cellStyle name="_报表_CHINE rapp Equity AC0912" xfId="43"/>
    <cellStyle name="_收款_Collection" xfId="44"/>
    <cellStyle name="_生产产值附表" xfId="45"/>
    <cellStyle name="_生产产值附表 (2)" xfId="46"/>
    <cellStyle name="_销售统计报表格式11" xfId="47"/>
    <cellStyle name="1" xfId="48"/>
    <cellStyle name="20% - Accent1 2" xfId="49"/>
    <cellStyle name="20% - Accent2 2" xfId="50"/>
    <cellStyle name="20% - Accent3 2" xfId="51"/>
    <cellStyle name="20% - Accent4 2" xfId="52"/>
    <cellStyle name="20% - Accent5 2" xfId="53"/>
    <cellStyle name="20% - Accent6 2" xfId="54"/>
    <cellStyle name="40% - Accent1 2" xfId="55"/>
    <cellStyle name="40% - Accent2 2" xfId="56"/>
    <cellStyle name="40% - Accent3 2" xfId="57"/>
    <cellStyle name="40% - Accent4 2" xfId="58"/>
    <cellStyle name="40% - Accent5 2" xfId="59"/>
    <cellStyle name="40% - Accent6 2" xfId="60"/>
    <cellStyle name="60% - Accent1 2" xfId="61"/>
    <cellStyle name="60% - Accent2 2" xfId="62"/>
    <cellStyle name="60% - Accent3 2" xfId="63"/>
    <cellStyle name="60% - Accent4 2" xfId="64"/>
    <cellStyle name="60% - Accent5 2" xfId="65"/>
    <cellStyle name="60% - Accent6 2" xfId="66"/>
    <cellStyle name="Bad 2" xfId="67"/>
    <cellStyle name="Calc Currency (0)" xfId="68"/>
    <cellStyle name="Calculation 2" xfId="69"/>
    <cellStyle name="Check Cell 2" xfId="70"/>
    <cellStyle name="Comma" xfId="1" builtinId="3"/>
    <cellStyle name="Comma  - Style1" xfId="71"/>
    <cellStyle name="Comma  - Style2" xfId="72"/>
    <cellStyle name="Comma  - Style3" xfId="73"/>
    <cellStyle name="Comma  - Style4" xfId="74"/>
    <cellStyle name="Comma  - Style5" xfId="75"/>
    <cellStyle name="Comma  - Style6" xfId="76"/>
    <cellStyle name="Comma  - Style7" xfId="77"/>
    <cellStyle name="Comma  - Style8" xfId="78"/>
    <cellStyle name="Copied" xfId="79"/>
    <cellStyle name="Entered" xfId="80"/>
    <cellStyle name="Euro" xfId="81"/>
    <cellStyle name="Explanatory Text 2" xfId="82"/>
    <cellStyle name="EYCurrency" xfId="83"/>
    <cellStyle name="EYCurrency 10" xfId="84"/>
    <cellStyle name="EYCurrency 2" xfId="85"/>
    <cellStyle name="EYtext" xfId="86"/>
    <cellStyle name="Good 2" xfId="87"/>
    <cellStyle name="Grey" xfId="88"/>
    <cellStyle name="Header1" xfId="89"/>
    <cellStyle name="Header2" xfId="90"/>
    <cellStyle name="Heading 1 2" xfId="91"/>
    <cellStyle name="Heading 2 2" xfId="92"/>
    <cellStyle name="Heading 3 2" xfId="93"/>
    <cellStyle name="Heading 4 2" xfId="94"/>
    <cellStyle name="Input [yellow]" xfId="95"/>
    <cellStyle name="Input 2" xfId="96"/>
    <cellStyle name="left" xfId="97"/>
    <cellStyle name="Linked Cell 2" xfId="98"/>
    <cellStyle name="Maquina Ugarola" xfId="99"/>
    <cellStyle name="Millares [0]_Hoja2" xfId="100"/>
    <cellStyle name="Millares_Hoja2" xfId="101"/>
    <cellStyle name="Milliers 2" xfId="102"/>
    <cellStyle name="Milliers 3" xfId="103"/>
    <cellStyle name="Milliers 4" xfId="104"/>
    <cellStyle name="Milliers 5" xfId="105"/>
    <cellStyle name="Moeda [0]_PLDT" xfId="106"/>
    <cellStyle name="Moeda_PLDT" xfId="107"/>
    <cellStyle name="Moneda [0]_Hoja2" xfId="108"/>
    <cellStyle name="Moneda_Hoja2" xfId="109"/>
    <cellStyle name="Monétaire 2" xfId="110"/>
    <cellStyle name="Neutral 2" xfId="111"/>
    <cellStyle name="Normal" xfId="0" builtinId="0"/>
    <cellStyle name="Normal - Style1" xfId="112"/>
    <cellStyle name="Normal 2" xfId="113"/>
    <cellStyle name="Normal 3" xfId="114"/>
    <cellStyle name="Normal 4" xfId="115"/>
    <cellStyle name="Normal_actsephm97 " xfId="116"/>
    <cellStyle name="Note 2" xfId="117"/>
    <cellStyle name="nplode" xfId="118"/>
    <cellStyle name="nVision" xfId="119"/>
    <cellStyle name="Output 2" xfId="120"/>
    <cellStyle name="Percent [2]" xfId="121"/>
    <cellStyle name="PERCENTAGE" xfId="122"/>
    <cellStyle name="Pilote de données - Catégorie" xfId="123"/>
    <cellStyle name="Pilote de données - Champ" xfId="124"/>
    <cellStyle name="Pilote de données - Coin" xfId="125"/>
    <cellStyle name="Pilote de données - Résultat" xfId="126"/>
    <cellStyle name="Pilote de données - Titre" xfId="127"/>
    <cellStyle name="Pilote de données - Valeur" xfId="128"/>
    <cellStyle name="Pourcentage 2" xfId="129"/>
    <cellStyle name="Pourcentage 3" xfId="130"/>
    <cellStyle name="Pourcentage 4" xfId="131"/>
    <cellStyle name="Pourcentage 5" xfId="132"/>
    <cellStyle name="PSChar" xfId="133"/>
    <cellStyle name="PSDate" xfId="134"/>
    <cellStyle name="PSDec" xfId="135"/>
    <cellStyle name="PSHeading" xfId="136"/>
    <cellStyle name="PSInt" xfId="137"/>
    <cellStyle name="PSSpacer" xfId="138"/>
    <cellStyle name="RevList" xfId="139"/>
    <cellStyle name="Separador de milhares [0]_PLDT" xfId="140"/>
    <cellStyle name="Separador de milhares_DR&amp;BPP2001" xfId="141"/>
    <cellStyle name="Standaard_INVESTMENTS REP CURR" xfId="142"/>
    <cellStyle name="Style 1" xfId="143"/>
    <cellStyle name="Subtotal" xfId="144"/>
    <cellStyle name="Title 2" xfId="145"/>
    <cellStyle name="Update" xfId="146"/>
    <cellStyle name="Vírgula_PLDT" xfId="147"/>
    <cellStyle name="Warning Text 2" xfId="148"/>
    <cellStyle name="wrap" xfId="149"/>
    <cellStyle name="一般_ 上海損益" xfId="150"/>
    <cellStyle name="千位分隔_Consol WC &amp; CF &amp; ND 1" xfId="151"/>
    <cellStyle name="千分位[0]_2001結帳表" xfId="152"/>
    <cellStyle name="千分位_2001結帳表" xfId="153"/>
    <cellStyle name="常规_2004年预算表格" xfId="154"/>
    <cellStyle name="普通_1130-3" xfId="155"/>
    <cellStyle name="貨幣 [0]_2001結帳表" xfId="156"/>
    <cellStyle name="貨幣_2001結帳表" xfId="157"/>
  </cellStyles>
  <dxfs count="0"/>
  <tableStyles count="0" defaultTableStyle="TableStyleMedium2" defaultPivotStyle="PivotStyleLight16"/>
  <colors>
    <mruColors>
      <color rgb="FFFF9999"/>
      <color rgb="FFFF33CC"/>
      <color rgb="FFFFCC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6" Type="http://schemas.openxmlformats.org/officeDocument/2006/relationships/image" Target="../media/image16.emf"/><Relationship Id="rId5" Type="http://schemas.openxmlformats.org/officeDocument/2006/relationships/image" Target="../media/image17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3" Type="http://schemas.openxmlformats.org/officeDocument/2006/relationships/image" Target="../media/image26.emf"/><Relationship Id="rId7" Type="http://schemas.openxmlformats.org/officeDocument/2006/relationships/image" Target="../media/image22.emf"/><Relationship Id="rId2" Type="http://schemas.openxmlformats.org/officeDocument/2006/relationships/image" Target="../media/image27.emf"/><Relationship Id="rId1" Type="http://schemas.openxmlformats.org/officeDocument/2006/relationships/image" Target="../media/image28.emf"/><Relationship Id="rId6" Type="http://schemas.openxmlformats.org/officeDocument/2006/relationships/image" Target="../media/image23.emf"/><Relationship Id="rId5" Type="http://schemas.openxmlformats.org/officeDocument/2006/relationships/image" Target="../media/image24.emf"/><Relationship Id="rId4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25" name="AnalyzerPageHeaders000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26" name="AnalyzerDynDownAxis000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27" name="AnalyzerDynAcrossAxis000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9525</xdr:colOff>
          <xdr:row>4</xdr:row>
          <xdr:rowOff>9525</xdr:rowOff>
        </xdr:to>
        <xdr:sp macro="" textlink="">
          <xdr:nvSpPr>
            <xdr:cNvPr id="1028" name="AnalyzerDynReport000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1588</xdr:colOff>
          <xdr:row>4</xdr:row>
          <xdr:rowOff>1588</xdr:rowOff>
        </xdr:to>
        <xdr:sp macro="" textlink="">
          <xdr:nvSpPr>
            <xdr:cNvPr id="1029" name="AnalyzerDynSheetInfo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1588</xdr:colOff>
          <xdr:row>4</xdr:row>
          <xdr:rowOff>1588</xdr:rowOff>
        </xdr:to>
        <xdr:sp macro="" textlink="">
          <xdr:nvSpPr>
            <xdr:cNvPr id="1030" name="AnalyzerConnectionInfo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9525</xdr:colOff>
          <xdr:row>7</xdr:row>
          <xdr:rowOff>9525</xdr:rowOff>
        </xdr:to>
        <xdr:sp macro="" textlink="">
          <xdr:nvSpPr>
            <xdr:cNvPr id="1031" name="AnalyzerCMDispatcher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9525</xdr:colOff>
          <xdr:row>3</xdr:row>
          <xdr:rowOff>9525</xdr:rowOff>
        </xdr:to>
        <xdr:sp macro="" textlink="">
          <xdr:nvSpPr>
            <xdr:cNvPr id="1032" name="AnalyzerCustomMembers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31</xdr:row>
      <xdr:rowOff>0</xdr:rowOff>
    </xdr:from>
    <xdr:to>
      <xdr:col>6</xdr:col>
      <xdr:colOff>399386</xdr:colOff>
      <xdr:row>52</xdr:row>
      <xdr:rowOff>66167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5810250"/>
          <a:ext cx="5314286" cy="4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1" name="AnalyzerPageHeaders000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2" name="AnalyzerDynDownAxis000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3" name="AnalyzerDynAcrossAxis000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4" name="AnalyzerDynReport000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5" name="AnalyzerDynSheetInfo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246" name="AnalyzerConnectionInfo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2066925</xdr:colOff>
          <xdr:row>3</xdr:row>
          <xdr:rowOff>152400</xdr:rowOff>
        </xdr:to>
        <xdr:sp macro="" textlink="">
          <xdr:nvSpPr>
            <xdr:cNvPr id="9221" name="AnalyzerPageHeaders000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2066925</xdr:colOff>
          <xdr:row>3</xdr:row>
          <xdr:rowOff>152400</xdr:rowOff>
        </xdr:to>
        <xdr:sp macro="" textlink="">
          <xdr:nvSpPr>
            <xdr:cNvPr id="9222" name="AnalyzerDynDownAxis000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2066925</xdr:colOff>
          <xdr:row>3</xdr:row>
          <xdr:rowOff>152400</xdr:rowOff>
        </xdr:to>
        <xdr:sp macro="" textlink="">
          <xdr:nvSpPr>
            <xdr:cNvPr id="9223" name="AnalyzerDynAcrossAxis000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2066925</xdr:colOff>
          <xdr:row>3</xdr:row>
          <xdr:rowOff>152400</xdr:rowOff>
        </xdr:to>
        <xdr:sp macro="" textlink="">
          <xdr:nvSpPr>
            <xdr:cNvPr id="9224" name="AnalyzerDynReport000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2058988</xdr:colOff>
          <xdr:row>3</xdr:row>
          <xdr:rowOff>144463</xdr:rowOff>
        </xdr:to>
        <xdr:sp macro="" textlink="">
          <xdr:nvSpPr>
            <xdr:cNvPr id="9225" name="AnalyzerDynSheetInfo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3</xdr:row>
          <xdr:rowOff>142875</xdr:rowOff>
        </xdr:from>
        <xdr:to>
          <xdr:col>1</xdr:col>
          <xdr:colOff>2058988</xdr:colOff>
          <xdr:row>3</xdr:row>
          <xdr:rowOff>144463</xdr:rowOff>
        </xdr:to>
        <xdr:sp macro="" textlink="">
          <xdr:nvSpPr>
            <xdr:cNvPr id="9226" name="AnalyzerConnectionInfo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381000</xdr:colOff>
          <xdr:row>0</xdr:row>
          <xdr:rowOff>9525</xdr:rowOff>
        </xdr:to>
        <xdr:sp macro="" textlink="">
          <xdr:nvSpPr>
            <xdr:cNvPr id="11265" name="AnalyzerPageHeaders000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381000</xdr:colOff>
          <xdr:row>0</xdr:row>
          <xdr:rowOff>9525</xdr:rowOff>
        </xdr:to>
        <xdr:sp macro="" textlink="">
          <xdr:nvSpPr>
            <xdr:cNvPr id="11266" name="AnalyzerDynDownAxis000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381000</xdr:colOff>
          <xdr:row>0</xdr:row>
          <xdr:rowOff>9525</xdr:rowOff>
        </xdr:to>
        <xdr:sp macro="" textlink="">
          <xdr:nvSpPr>
            <xdr:cNvPr id="11267" name="AnalyzerDynAcrossAxis000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381000</xdr:colOff>
          <xdr:row>0</xdr:row>
          <xdr:rowOff>9525</xdr:rowOff>
        </xdr:to>
        <xdr:sp macro="" textlink="">
          <xdr:nvSpPr>
            <xdr:cNvPr id="11268" name="AnalyzerDynReport000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373063</xdr:colOff>
          <xdr:row>0</xdr:row>
          <xdr:rowOff>1588</xdr:rowOff>
        </xdr:to>
        <xdr:sp macro="" textlink="">
          <xdr:nvSpPr>
            <xdr:cNvPr id="11269" name="AnalyzerDynSheetInfo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0</xdr:row>
          <xdr:rowOff>0</xdr:rowOff>
        </xdr:from>
        <xdr:to>
          <xdr:col>3</xdr:col>
          <xdr:colOff>373063</xdr:colOff>
          <xdr:row>0</xdr:row>
          <xdr:rowOff>1588</xdr:rowOff>
        </xdr:to>
        <xdr:sp macro="" textlink="">
          <xdr:nvSpPr>
            <xdr:cNvPr id="11270" name="AnalyzerConnectionInfo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3175</xdr:rowOff>
        </xdr:from>
        <xdr:to>
          <xdr:col>7</xdr:col>
          <xdr:colOff>28575</xdr:colOff>
          <xdr:row>14</xdr:row>
          <xdr:rowOff>12700</xdr:rowOff>
        </xdr:to>
        <xdr:sp macro="" textlink="">
          <xdr:nvSpPr>
            <xdr:cNvPr id="11271" name="AnalyzerCMDispatcher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0</xdr:colOff>
          <xdr:row>55</xdr:row>
          <xdr:rowOff>0</xdr:rowOff>
        </xdr:to>
        <xdr:sp macro="" textlink="">
          <xdr:nvSpPr>
            <xdr:cNvPr id="11288" name="AnalyzerCustomMembers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13" Type="http://schemas.openxmlformats.org/officeDocument/2006/relationships/image" Target="../media/image14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11.emf"/><Relationship Id="rId12" Type="http://schemas.openxmlformats.org/officeDocument/2006/relationships/control" Target="../activeX/activeX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0.xml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5" Type="http://schemas.openxmlformats.org/officeDocument/2006/relationships/image" Target="../media/image15.emf"/><Relationship Id="rId10" Type="http://schemas.openxmlformats.org/officeDocument/2006/relationships/control" Target="../activeX/activeX12.xml"/><Relationship Id="rId4" Type="http://schemas.openxmlformats.org/officeDocument/2006/relationships/control" Target="../activeX/activeX9.xml"/><Relationship Id="rId9" Type="http://schemas.openxmlformats.org/officeDocument/2006/relationships/image" Target="../media/image12.emf"/><Relationship Id="rId14" Type="http://schemas.openxmlformats.org/officeDocument/2006/relationships/control" Target="../activeX/activeX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13" Type="http://schemas.openxmlformats.org/officeDocument/2006/relationships/image" Target="../media/image20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7.emf"/><Relationship Id="rId12" Type="http://schemas.openxmlformats.org/officeDocument/2006/relationships/control" Target="../activeX/activeX19.xml"/><Relationship Id="rId2" Type="http://schemas.openxmlformats.org/officeDocument/2006/relationships/drawing" Target="../drawings/drawing3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6.xml"/><Relationship Id="rId11" Type="http://schemas.openxmlformats.org/officeDocument/2006/relationships/image" Target="../media/image19.emf"/><Relationship Id="rId5" Type="http://schemas.openxmlformats.org/officeDocument/2006/relationships/image" Target="../media/image16.emf"/><Relationship Id="rId15" Type="http://schemas.openxmlformats.org/officeDocument/2006/relationships/image" Target="../media/image21.emf"/><Relationship Id="rId10" Type="http://schemas.openxmlformats.org/officeDocument/2006/relationships/control" Target="../activeX/activeX18.xml"/><Relationship Id="rId4" Type="http://schemas.openxmlformats.org/officeDocument/2006/relationships/control" Target="../activeX/activeX15.xml"/><Relationship Id="rId9" Type="http://schemas.openxmlformats.org/officeDocument/2006/relationships/image" Target="../media/image18.emf"/><Relationship Id="rId14" Type="http://schemas.openxmlformats.org/officeDocument/2006/relationships/control" Target="../activeX/activeX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26.emf"/><Relationship Id="rId18" Type="http://schemas.openxmlformats.org/officeDocument/2006/relationships/control" Target="../activeX/activeX28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control" Target="../activeX/activeX25.xml"/><Relationship Id="rId17" Type="http://schemas.openxmlformats.org/officeDocument/2006/relationships/image" Target="../media/image28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27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2.xml"/><Relationship Id="rId11" Type="http://schemas.openxmlformats.org/officeDocument/2006/relationships/image" Target="../media/image25.emf"/><Relationship Id="rId5" Type="http://schemas.openxmlformats.org/officeDocument/2006/relationships/image" Target="../media/image22.emf"/><Relationship Id="rId15" Type="http://schemas.openxmlformats.org/officeDocument/2006/relationships/image" Target="../media/image27.emf"/><Relationship Id="rId10" Type="http://schemas.openxmlformats.org/officeDocument/2006/relationships/control" Target="../activeX/activeX24.xml"/><Relationship Id="rId19" Type="http://schemas.openxmlformats.org/officeDocument/2006/relationships/image" Target="../media/image29.emf"/><Relationship Id="rId4" Type="http://schemas.openxmlformats.org/officeDocument/2006/relationships/control" Target="../activeX/activeX21.xml"/><Relationship Id="rId9" Type="http://schemas.openxmlformats.org/officeDocument/2006/relationships/image" Target="../media/image24.emf"/><Relationship Id="rId14" Type="http://schemas.openxmlformats.org/officeDocument/2006/relationships/control" Target="../activeX/activeX2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pageSetUpPr fitToPage="1"/>
  </sheetPr>
  <dimension ref="A4:H29"/>
  <sheetViews>
    <sheetView showGridLines="0" topLeftCell="C1" zoomScaleNormal="100" workbookViewId="0">
      <selection activeCell="E3" sqref="E3"/>
    </sheetView>
  </sheetViews>
  <sheetFormatPr defaultColWidth="11.42578125" defaultRowHeight="15"/>
  <cols>
    <col min="3" max="3" width="19.140625" customWidth="1"/>
    <col min="4" max="4" width="14.7109375" bestFit="1" customWidth="1"/>
    <col min="5" max="5" width="55.42578125" bestFit="1" customWidth="1"/>
    <col min="6" max="6" width="3.5703125" bestFit="1" customWidth="1"/>
    <col min="7" max="7" width="10.5703125" bestFit="1" customWidth="1"/>
    <col min="8" max="8" width="3.42578125" bestFit="1" customWidth="1"/>
  </cols>
  <sheetData>
    <row r="4" spans="1:8" ht="18.75">
      <c r="A4" s="7"/>
      <c r="B4" s="7"/>
      <c r="C4" s="221" t="s">
        <v>144</v>
      </c>
      <c r="D4" s="10" t="s">
        <v>5</v>
      </c>
      <c r="E4" s="9" t="str">
        <f>_xll.IdPrj.AnalyzerFuncs.AnalyzerOLAPMember("[Period].[Month].&amp;[29720576]","","2013.12","","-524281.-524281.29720576","[Period]","000","H")</f>
        <v>2013.12</v>
      </c>
    </row>
    <row r="5" spans="1:8" ht="18.75">
      <c r="A5" s="7"/>
      <c r="B5" s="7"/>
      <c r="C5" s="7"/>
      <c r="D5" s="6" t="s">
        <v>4</v>
      </c>
      <c r="E5" s="8" t="str">
        <f>_xll.IdPrj.AnalyzerFuncs.AnalyzerOLAPMember("[X01 - Variant].[DEF]","","DEF","","AllIdent","[X01 - Variant]","000","H")</f>
        <v>DEF</v>
      </c>
    </row>
    <row r="6" spans="1:8" ht="18.75">
      <c r="A6" s="7"/>
      <c r="B6" s="7"/>
      <c r="C6" s="7"/>
      <c r="D6" s="6" t="s">
        <v>3</v>
      </c>
      <c r="E6" s="5" t="str">
        <f>_xll.IdPrj.AnalyzerFuncs.AnalyzerOLAPMember("[Historized Scope].&amp;[2]","","BU00 - Business Unit West","","-524285.-524285.2","[Historized Scope]","000","H")</f>
        <v>BU00 - Business Unit West</v>
      </c>
    </row>
    <row r="7" spans="1:8" ht="18.75">
      <c r="A7" s="7"/>
      <c r="B7" s="7"/>
      <c r="C7" s="7"/>
      <c r="D7" s="6" t="s">
        <v>2</v>
      </c>
      <c r="E7" s="5" t="str">
        <f>_xll.IdPrj.AnalyzerFuncs.AnalyzerOLAPMember("[Elimination].[Elimination].&amp;[5]","","CONS_DIV_LVL - Consolidated at Divisional level","","-1.-1.5","[Elimination]","000","H")</f>
        <v>CONS_DIV_LVL - Consolidated at Divisional level</v>
      </c>
    </row>
    <row r="8" spans="1:8" ht="18.75">
      <c r="A8" s="7"/>
      <c r="B8" s="7"/>
      <c r="C8" s="7"/>
      <c r="D8" s="6" t="s">
        <v>1</v>
      </c>
      <c r="E8" s="5" t="str">
        <f>_xll.IdPrj.AnalyzerFuncs.AnalyzerOLAPMember("[Version].[All]","","All","","AllIdent","[Version]","000","H")</f>
        <v>All</v>
      </c>
    </row>
    <row r="9" spans="1:8" ht="18.75">
      <c r="A9" s="4"/>
      <c r="B9" s="4"/>
      <c r="C9" s="4"/>
      <c r="D9" s="3" t="s">
        <v>0</v>
      </c>
      <c r="E9" s="2" t="str">
        <f>_xll.IdPrj.AnalyzerFuncs.AnalyzerOLAPMember("[Measures].[Consolidated Amount in K€]","","Consolidated Amount in K€","","Consolidated Amount in K€","[Measures]","000","H")</f>
        <v>Consolidated Amount in K€</v>
      </c>
    </row>
    <row r="10" spans="1:8" ht="15.75" thickBot="1"/>
    <row r="11" spans="1:8" ht="19.5" thickBot="1">
      <c r="D11" s="175" t="s">
        <v>143</v>
      </c>
      <c r="E11" s="176"/>
    </row>
    <row r="12" spans="1:8">
      <c r="E12" s="1"/>
      <c r="G12" s="1"/>
    </row>
    <row r="13" spans="1:8">
      <c r="H13" t="str">
        <f>_xll.IdPrj.AnalyzerFuncs.AnalyzerOLAPMember("[Geographical area].[All]","","All","","AllIdent","[Geographical area]","000","A0")</f>
        <v>All</v>
      </c>
    </row>
    <row r="14" spans="1:8">
      <c r="G14" s="1" t="str">
        <f>_xll.IdPrj.AnalyzerFuncs.AnalyzerOLAPMember("[Partner].[Partner 1].&amp;[0]","","No Partner","","-524279.-524279.0","[Partner]","000","D0")</f>
        <v>No Partner</v>
      </c>
    </row>
    <row r="15" spans="1:8">
      <c r="D15" t="s">
        <v>125</v>
      </c>
    </row>
    <row r="16" spans="1:8">
      <c r="D16" t="s">
        <v>124</v>
      </c>
    </row>
    <row r="17" spans="4:5">
      <c r="D17" t="s">
        <v>126</v>
      </c>
    </row>
    <row r="18" spans="4:5">
      <c r="D18" t="s">
        <v>141</v>
      </c>
    </row>
    <row r="20" spans="4:5">
      <c r="D20" t="s">
        <v>132</v>
      </c>
      <c r="E20" t="s">
        <v>133</v>
      </c>
    </row>
    <row r="21" spans="4:5">
      <c r="D21" t="s">
        <v>128</v>
      </c>
      <c r="E21" t="s">
        <v>134</v>
      </c>
    </row>
    <row r="22" spans="4:5">
      <c r="D22" t="s">
        <v>129</v>
      </c>
      <c r="E22" t="s">
        <v>135</v>
      </c>
    </row>
    <row r="23" spans="4:5">
      <c r="D23" t="s">
        <v>130</v>
      </c>
      <c r="E23" t="s">
        <v>136</v>
      </c>
    </row>
    <row r="24" spans="4:5">
      <c r="D24" t="s">
        <v>131</v>
      </c>
      <c r="E24" t="s">
        <v>137</v>
      </c>
    </row>
    <row r="25" spans="4:5">
      <c r="D25" t="s">
        <v>127</v>
      </c>
      <c r="E25" t="s">
        <v>138</v>
      </c>
    </row>
    <row r="26" spans="4:5">
      <c r="D26" t="s">
        <v>139</v>
      </c>
    </row>
    <row r="27" spans="4:5">
      <c r="D27" t="s">
        <v>142</v>
      </c>
    </row>
    <row r="29" spans="4:5">
      <c r="D29" t="s">
        <v>140</v>
      </c>
    </row>
  </sheetData>
  <pageMargins left="0.70866141732283472" right="0.70866141732283472" top="0.74803149606299213" bottom="0.74803149606299213" header="0.31496062992125984" footer="0.31496062992125984"/>
  <pageSetup paperSize="9" scale="57" orientation="portrait" horizontalDpi="150" verticalDpi="150" r:id="rId1"/>
  <drawing r:id="rId2"/>
  <legacyDrawing r:id="rId3"/>
  <controls>
    <mc:AlternateContent xmlns:mc="http://schemas.openxmlformats.org/markup-compatibility/2006">
      <mc:Choice Requires="x14">
        <control shapeId="1032" r:id="rId4" name="AnalyzerCustomMembers2">
          <controlPr defaultSize="0" autoLine="0" r:id="rId5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9525</xdr:colOff>
                <xdr:row>3</xdr:row>
                <xdr:rowOff>9525</xdr:rowOff>
              </to>
            </anchor>
          </controlPr>
        </control>
      </mc:Choice>
      <mc:Fallback>
        <control shapeId="1032" r:id="rId4" name="AnalyzerCustomMembers2"/>
      </mc:Fallback>
    </mc:AlternateContent>
    <mc:AlternateContent xmlns:mc="http://schemas.openxmlformats.org/markup-compatibility/2006">
      <mc:Choice Requires="x14">
        <control shapeId="1031" r:id="rId6" name="AnalyzerCMDispatcher">
          <controlPr defaultSize="0" autoLine="0" r:id="rId7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9525</xdr:colOff>
                <xdr:row>7</xdr:row>
                <xdr:rowOff>9525</xdr:rowOff>
              </to>
            </anchor>
          </controlPr>
        </control>
      </mc:Choice>
      <mc:Fallback>
        <control shapeId="1031" r:id="rId6" name="AnalyzerCMDispatcher"/>
      </mc:Fallback>
    </mc:AlternateContent>
    <mc:AlternateContent xmlns:mc="http://schemas.openxmlformats.org/markup-compatibility/2006">
      <mc:Choice Requires="x14">
        <control shapeId="1030" r:id="rId8" name="AnalyzerConnectionInfo">
          <controlPr defaultSize="0" autoLine="0" r:id="rId9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30" r:id="rId8" name="AnalyzerConnectionInfo"/>
      </mc:Fallback>
    </mc:AlternateContent>
    <mc:AlternateContent xmlns:mc="http://schemas.openxmlformats.org/markup-compatibility/2006">
      <mc:Choice Requires="x14">
        <control shapeId="1029" r:id="rId10" name="AnalyzerDynSheetInfo">
          <controlPr defaultSize="0" autoLine="0" r:id="rId11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29" r:id="rId10" name="AnalyzerDynSheetInfo"/>
      </mc:Fallback>
    </mc:AlternateContent>
    <mc:AlternateContent xmlns:mc="http://schemas.openxmlformats.org/markup-compatibility/2006">
      <mc:Choice Requires="x14">
        <control shapeId="1028" r:id="rId12" name="AnalyzerDynReport000">
          <controlPr defaultSize="0" autoLine="0" r:id="rId13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28" r:id="rId12" name="AnalyzerDynReport000"/>
      </mc:Fallback>
    </mc:AlternateContent>
    <mc:AlternateContent xmlns:mc="http://schemas.openxmlformats.org/markup-compatibility/2006">
      <mc:Choice Requires="x14">
        <control shapeId="1027" r:id="rId14" name="AnalyzerDynAcrossAxis000">
          <controlPr defaultSize="0" autoLine="0" r:id="rId1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27" r:id="rId14" name="AnalyzerDynAcrossAxis000"/>
      </mc:Fallback>
    </mc:AlternateContent>
    <mc:AlternateContent xmlns:mc="http://schemas.openxmlformats.org/markup-compatibility/2006">
      <mc:Choice Requires="x14">
        <control shapeId="1026" r:id="rId16" name="AnalyzerDynDownAxis000">
          <controlPr defaultSize="0" autoLine="0" r:id="rId17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26" r:id="rId16" name="AnalyzerDynDownAxis000"/>
      </mc:Fallback>
    </mc:AlternateContent>
    <mc:AlternateContent xmlns:mc="http://schemas.openxmlformats.org/markup-compatibility/2006">
      <mc:Choice Requires="x14">
        <control shapeId="1025" r:id="rId18" name="AnalyzerPageHeaders000">
          <controlPr defaultSize="0" autoLine="0" r:id="rId19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1025" r:id="rId18" name="AnalyzerPageHeaders00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0">
    <pageSetUpPr fitToPage="1"/>
  </sheetPr>
  <dimension ref="A1:BB128"/>
  <sheetViews>
    <sheetView showGridLines="0" topLeftCell="C1" zoomScale="80" zoomScaleNormal="80" workbookViewId="0">
      <selection activeCell="AF107" sqref="AF107"/>
    </sheetView>
  </sheetViews>
  <sheetFormatPr defaultColWidth="9.140625" defaultRowHeight="15" outlineLevelRow="1" outlineLevelCol="1"/>
  <cols>
    <col min="1" max="1" width="9.140625" style="11" hidden="1" customWidth="1" outlineLevel="1"/>
    <col min="2" max="2" width="28" style="11" hidden="1" customWidth="1" outlineLevel="1"/>
    <col min="3" max="3" width="18.140625" style="11" customWidth="1" collapsed="1"/>
    <col min="4" max="4" width="58.140625" style="11" customWidth="1"/>
    <col min="5" max="7" width="13.7109375" style="11" hidden="1" customWidth="1" outlineLevel="1"/>
    <col min="8" max="8" width="13.7109375" style="11" customWidth="1" collapsed="1"/>
    <col min="9" max="19" width="13.7109375" style="11" hidden="1" customWidth="1" outlineLevel="1"/>
    <col min="20" max="20" width="13.7109375" style="11" customWidth="1" collapsed="1"/>
    <col min="21" max="27" width="13.7109375" style="11" hidden="1" customWidth="1" outlineLevel="1"/>
    <col min="28" max="28" width="13.7109375" style="11" customWidth="1" collapsed="1"/>
    <col min="29" max="31" width="13.7109375" style="11" hidden="1" customWidth="1" outlineLevel="1"/>
    <col min="32" max="32" width="13.7109375" style="11" customWidth="1" collapsed="1"/>
    <col min="33" max="39" width="13.7109375" style="11" hidden="1" customWidth="1" outlineLevel="1"/>
    <col min="40" max="40" width="13.7109375" style="11" customWidth="1" collapsed="1"/>
    <col min="41" max="43" width="13.7109375" style="11" hidden="1" customWidth="1" outlineLevel="1"/>
    <col min="44" max="44" width="13.7109375" style="11" customWidth="1" collapsed="1"/>
    <col min="45" max="51" width="13.7109375" style="11" hidden="1" customWidth="1" outlineLevel="1"/>
    <col min="52" max="52" width="13.7109375" style="11" customWidth="1" collapsed="1"/>
    <col min="53" max="53" width="13.7109375" style="11" hidden="1" customWidth="1" outlineLevel="1"/>
    <col min="54" max="54" width="9.140625" style="11" collapsed="1"/>
    <col min="55" max="16384" width="9.140625" style="11"/>
  </cols>
  <sheetData>
    <row r="1" spans="1:53" ht="21" customHeight="1">
      <c r="A1" s="15" t="str">
        <f>_xll.IdPrj.AnalyzerFuncs.AnalyzerOLAPMember(P,"","2013.12","","-524281.-524281.29720576","[Period]","000","H")</f>
        <v>2013.12</v>
      </c>
      <c r="D1" s="140" t="str">
        <f t="shared" ref="D1:D7" si="0">+A1</f>
        <v>2013.12</v>
      </c>
      <c r="E1" s="12"/>
      <c r="F1" s="12"/>
      <c r="G1" s="12"/>
      <c r="H1" s="144"/>
      <c r="I1" s="143"/>
      <c r="J1" s="143"/>
      <c r="K1" s="143"/>
      <c r="L1" s="143"/>
      <c r="M1" s="143"/>
      <c r="N1" s="143"/>
      <c r="O1" s="143"/>
      <c r="P1" s="143"/>
      <c r="Q1" s="12"/>
      <c r="R1" s="12"/>
      <c r="S1" s="12"/>
      <c r="T1" s="144"/>
      <c r="U1" s="143"/>
      <c r="V1" s="143"/>
      <c r="W1" s="143"/>
      <c r="X1" s="143"/>
      <c r="Y1" s="143"/>
      <c r="Z1" s="143"/>
      <c r="AA1" s="143"/>
      <c r="AB1" s="143"/>
      <c r="AC1" s="12"/>
      <c r="AD1" s="12"/>
      <c r="AE1" s="12"/>
      <c r="AF1" s="144"/>
      <c r="AG1" s="143"/>
      <c r="AH1" s="143"/>
      <c r="AI1" s="143"/>
      <c r="AJ1" s="143"/>
      <c r="AK1" s="143"/>
      <c r="AL1" s="143"/>
      <c r="AM1" s="143"/>
      <c r="AN1" s="143"/>
      <c r="AO1" s="12"/>
      <c r="AP1" s="12"/>
      <c r="AQ1" s="12"/>
      <c r="AR1" s="144"/>
      <c r="AS1" s="143"/>
      <c r="AT1" s="143"/>
      <c r="AU1" s="143"/>
      <c r="AV1" s="143"/>
      <c r="AW1" s="143"/>
      <c r="AX1" s="143"/>
      <c r="AY1" s="143"/>
      <c r="AZ1" s="143"/>
      <c r="BA1" s="143"/>
    </row>
    <row r="2" spans="1:53" ht="21" customHeight="1">
      <c r="A2" s="15" t="str">
        <f>_xll.IdPrj.AnalyzerFuncs.AnalyzerOLAPMember(VA,"","DEF","","AllIdent","[X01 - Variant]","000","H")</f>
        <v>DEF</v>
      </c>
      <c r="D2" s="140" t="str">
        <f t="shared" si="0"/>
        <v>DEF</v>
      </c>
      <c r="E2" s="12"/>
      <c r="F2" s="12"/>
      <c r="G2" s="12"/>
      <c r="H2" s="144"/>
      <c r="I2" s="143"/>
      <c r="J2" s="143"/>
      <c r="K2" s="143"/>
      <c r="L2" s="143"/>
      <c r="M2" s="143"/>
      <c r="N2" s="143"/>
      <c r="O2" s="143"/>
      <c r="P2" s="143"/>
      <c r="Q2" s="12"/>
      <c r="R2" s="12"/>
      <c r="S2" s="12"/>
      <c r="T2" s="144"/>
      <c r="U2" s="143"/>
      <c r="V2" s="143"/>
      <c r="W2" s="143"/>
      <c r="X2" s="143"/>
      <c r="Y2" s="143"/>
      <c r="Z2" s="143"/>
      <c r="AA2" s="143"/>
      <c r="AB2" s="143"/>
      <c r="AC2" s="12"/>
      <c r="AD2" s="12"/>
      <c r="AE2" s="12"/>
      <c r="AF2" s="144"/>
      <c r="AG2" s="143"/>
      <c r="AH2" s="143"/>
      <c r="AI2" s="143"/>
      <c r="AJ2" s="143"/>
      <c r="AK2" s="143"/>
      <c r="AL2" s="143"/>
      <c r="AM2" s="143"/>
      <c r="AN2" s="143"/>
      <c r="AO2" s="12"/>
      <c r="AP2" s="12"/>
      <c r="AQ2" s="12"/>
      <c r="AR2" s="144"/>
      <c r="AS2" s="143"/>
      <c r="AT2" s="143"/>
      <c r="AU2" s="143"/>
      <c r="AV2" s="143"/>
      <c r="AW2" s="143"/>
      <c r="AX2" s="143"/>
      <c r="AY2" s="143"/>
      <c r="AZ2" s="143"/>
      <c r="BA2" s="143"/>
    </row>
    <row r="3" spans="1:53" ht="21" customHeight="1">
      <c r="A3" s="15" t="str">
        <f>_xll.IdPrj.AnalyzerFuncs.AnalyzerOLAPMember(U,"","BU00 - Business Unit West","","-524285.-524285.2","[Historized Scope]","000","H")</f>
        <v>BU00 - Business Unit West</v>
      </c>
      <c r="D3" s="140" t="str">
        <f t="shared" si="0"/>
        <v>BU00 - Business Unit West</v>
      </c>
      <c r="E3" s="12"/>
      <c r="F3" s="12"/>
      <c r="G3" s="12"/>
      <c r="H3" s="144"/>
      <c r="I3" s="143"/>
      <c r="J3" s="143"/>
      <c r="K3" s="143"/>
      <c r="L3" s="143"/>
      <c r="M3" s="143"/>
      <c r="N3" s="143"/>
      <c r="O3" s="143"/>
      <c r="P3" s="143"/>
      <c r="Q3" s="12"/>
      <c r="R3" s="12"/>
      <c r="S3" s="12"/>
      <c r="T3" s="144"/>
      <c r="U3" s="143"/>
      <c r="V3" s="143"/>
      <c r="W3" s="143"/>
      <c r="X3" s="143"/>
      <c r="Y3" s="143"/>
      <c r="Z3" s="143"/>
      <c r="AA3" s="143"/>
      <c r="AB3" s="143"/>
      <c r="AC3" s="12"/>
      <c r="AD3" s="12"/>
      <c r="AE3" s="12"/>
      <c r="AF3" s="144"/>
      <c r="AG3" s="143"/>
      <c r="AH3" s="143"/>
      <c r="AI3" s="143"/>
      <c r="AJ3" s="143"/>
      <c r="AK3" s="143"/>
      <c r="AL3" s="143"/>
      <c r="AM3" s="143"/>
      <c r="AN3" s="143"/>
      <c r="AO3" s="12"/>
      <c r="AP3" s="12"/>
      <c r="AQ3" s="12"/>
      <c r="AR3" s="144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1:53" ht="21" customHeight="1">
      <c r="A4" s="15" t="str">
        <f>_xll.IdPrj.AnalyzerFuncs.AnalyzerOLAPMember(ELI,"","CONS_DIV_LVL - Consolidated at Divisional level","","-1.-1.5","[Elimination]","000","H")</f>
        <v>CONS_DIV_LVL - Consolidated at Divisional level</v>
      </c>
      <c r="D4" s="140" t="str">
        <f t="shared" si="0"/>
        <v>CONS_DIV_LVL - Consolidated at Divisional level</v>
      </c>
      <c r="E4" s="12"/>
      <c r="F4" s="12"/>
      <c r="G4" s="12"/>
      <c r="H4" s="142"/>
      <c r="I4" s="141"/>
      <c r="J4" s="141"/>
      <c r="K4" s="141"/>
      <c r="L4" s="141"/>
      <c r="M4" s="141"/>
      <c r="N4" s="141"/>
      <c r="O4" s="141"/>
      <c r="P4" s="141"/>
      <c r="Q4" s="12"/>
      <c r="R4" s="12"/>
      <c r="S4" s="12"/>
      <c r="T4" s="142"/>
      <c r="U4" s="141"/>
      <c r="V4" s="141"/>
      <c r="W4" s="141"/>
      <c r="X4" s="141"/>
      <c r="Y4" s="141"/>
      <c r="Z4" s="141"/>
      <c r="AA4" s="141"/>
      <c r="AB4" s="141"/>
      <c r="AC4" s="12"/>
      <c r="AD4" s="12"/>
      <c r="AE4" s="12"/>
      <c r="AF4" s="142"/>
      <c r="AG4" s="141"/>
      <c r="AH4" s="141"/>
      <c r="AI4" s="141"/>
      <c r="AJ4" s="141"/>
      <c r="AK4" s="141"/>
      <c r="AL4" s="141"/>
      <c r="AM4" s="141"/>
      <c r="AN4" s="141"/>
      <c r="AO4" s="12"/>
      <c r="AP4" s="12"/>
      <c r="AQ4" s="12"/>
      <c r="AR4" s="142"/>
      <c r="AS4" s="141"/>
      <c r="AT4" s="141"/>
      <c r="AU4" s="141"/>
      <c r="AV4" s="141"/>
      <c r="AW4" s="141"/>
      <c r="AX4" s="141"/>
      <c r="AY4" s="141"/>
      <c r="AZ4" s="141"/>
      <c r="BA4" s="141"/>
    </row>
    <row r="5" spans="1:53" ht="21" customHeight="1">
      <c r="A5" s="15" t="str">
        <f>_xll.IdPrj.AnalyzerFuncs.AnalyzerOLAPMember(VE,"","All","","AllIdent","[Version]","000","H")</f>
        <v>All</v>
      </c>
      <c r="D5" s="140" t="str">
        <f t="shared" si="0"/>
        <v>All</v>
      </c>
      <c r="E5" s="12"/>
      <c r="F5" s="12"/>
      <c r="G5" s="12"/>
      <c r="H5" s="142"/>
      <c r="I5" s="141"/>
      <c r="J5" s="141"/>
      <c r="K5" s="141"/>
      <c r="L5" s="141"/>
      <c r="M5" s="141"/>
      <c r="N5" s="141"/>
      <c r="O5" s="141"/>
      <c r="P5" s="141"/>
      <c r="Q5" s="12"/>
      <c r="R5" s="12"/>
      <c r="S5" s="12"/>
      <c r="T5" s="142"/>
      <c r="U5" s="141"/>
      <c r="V5" s="141"/>
      <c r="W5" s="141"/>
      <c r="X5" s="141"/>
      <c r="Y5" s="141"/>
      <c r="Z5" s="141"/>
      <c r="AA5" s="141"/>
      <c r="AB5" s="141"/>
      <c r="AC5" s="12"/>
      <c r="AD5" s="12"/>
      <c r="AE5" s="12"/>
      <c r="AF5" s="142"/>
      <c r="AG5" s="141"/>
      <c r="AH5" s="141"/>
      <c r="AI5" s="141"/>
      <c r="AJ5" s="141"/>
      <c r="AK5" s="141"/>
      <c r="AL5" s="141"/>
      <c r="AM5" s="141"/>
      <c r="AN5" s="141"/>
      <c r="AO5" s="12"/>
      <c r="AP5" s="12"/>
      <c r="AQ5" s="12"/>
      <c r="AR5" s="142"/>
      <c r="AS5" s="141"/>
      <c r="AT5" s="141"/>
      <c r="AU5" s="141"/>
      <c r="AV5" s="141"/>
      <c r="AW5" s="141"/>
      <c r="AX5" s="141"/>
      <c r="AY5" s="141"/>
      <c r="AZ5" s="141"/>
      <c r="BA5" s="141"/>
    </row>
    <row r="6" spans="1:53" s="100" customFormat="1" ht="17.25" customHeight="1">
      <c r="A6" s="15" t="str">
        <f>_xll.IdPrj.AnalyzerFuncs.AnalyzerOLAPMember(M,"","Consolidated Amount in K€","","Consolidated Amount in K€","[Measures]","000","H")</f>
        <v>Consolidated Amount in K€</v>
      </c>
      <c r="D6" s="140" t="str">
        <f t="shared" si="0"/>
        <v>Consolidated Amount in K€</v>
      </c>
    </row>
    <row r="7" spans="1:53" s="100" customFormat="1" ht="13.5" customHeight="1" thickBot="1">
      <c r="A7" s="15" t="s">
        <v>6</v>
      </c>
      <c r="D7" s="140" t="str">
        <f t="shared" si="0"/>
        <v/>
      </c>
    </row>
    <row r="8" spans="1:53" s="100" customFormat="1" ht="33" customHeight="1" thickBot="1">
      <c r="D8" s="139"/>
      <c r="E8" s="138" t="s">
        <v>77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8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8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8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6"/>
    </row>
    <row r="9" spans="1:53" s="14" customFormat="1" ht="15" customHeight="1">
      <c r="E9" s="135"/>
      <c r="F9" s="135"/>
      <c r="G9" s="135"/>
      <c r="H9" s="135"/>
      <c r="I9" s="135"/>
      <c r="J9" s="134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4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4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4"/>
      <c r="AU9" s="135"/>
      <c r="AV9" s="135"/>
      <c r="AW9" s="135"/>
      <c r="AX9" s="135"/>
      <c r="AY9" s="135"/>
      <c r="AZ9" s="135"/>
      <c r="BA9" s="134"/>
    </row>
    <row r="10" spans="1:53" s="14" customFormat="1" ht="15" customHeight="1" thickBot="1">
      <c r="P10" s="134"/>
      <c r="AB10" s="134"/>
      <c r="AN10" s="134"/>
      <c r="AZ10" s="134"/>
    </row>
    <row r="11" spans="1:53" s="100" customFormat="1" ht="15" hidden="1" customHeight="1" outlineLevel="1">
      <c r="E11" s="100" t="str">
        <f>_xll.IdPrj.AnalyzerFuncs.AnalyzerOLAPMember("[Consolidations].[ACTUAL YTD]","","ACTUAL YTD","","AllIdent","[Consolidations]","000","A0")</f>
        <v>ACTUAL YTD</v>
      </c>
      <c r="P11" s="109"/>
      <c r="Q11" s="100" t="str">
        <f>_xll.IdPrj.AnalyzerFuncs.AnalyzerOLAPMember("[Consolidations].[Consolidations].&amp;[3]&amp;[29646848]&amp;[1]&amp;[3]&amp;[45]","","FC - 2013.03 - HMY - DEF - EUR","","3.29646848.1.3.45","[Consolidations]","000","A0")</f>
        <v>FC - 2013.03 - HMY - DEF - EUR</v>
      </c>
      <c r="AB11" s="109"/>
      <c r="AC11" s="100" t="str">
        <f>_xll.IdPrj.AnalyzerFuncs.AnalyzerOLAPMember("[Consolidations].[BUDGET YTD]","","BUDGET YTD","","AllIdent","[Consolidations]","000","A0")</f>
        <v>BUDGET YTD</v>
      </c>
      <c r="AN11" s="109"/>
      <c r="AO11" s="100" t="str">
        <f>_xll.IdPrj.AnalyzerFuncs.AnalyzerOLAPMember("[Consolidations].[ACTUAL YTD N-1]","","ACTUAL YTD N-1","","AllIdent","[Consolidations]","000","A0")</f>
        <v>ACTUAL YTD N-1</v>
      </c>
      <c r="AZ11" s="109"/>
      <c r="BA11" s="133" t="str">
        <f>_xll.IdPrj.AnalyzerFuncs.AnalyzerOLAPMember("[Consolidations].[FORECAST YTD N-1]","","FORECAST YTD N-1","","AllIdent","[Consolidations]","000","A0")</f>
        <v>FORECAST YTD N-1</v>
      </c>
    </row>
    <row r="12" spans="1:53" s="132" customFormat="1" ht="15" hidden="1" customHeight="1" outlineLevel="1" thickBot="1">
      <c r="E12" s="132" t="str">
        <f>_xll.IdPrj.AnalyzerFuncs.AnalyzerOLAPMember("[X02 - Month].[January]","","January","","AllIdent","[X02 - Month]","000","A1")</f>
        <v>January</v>
      </c>
      <c r="F12" s="132" t="str">
        <f>_xll.IdPrj.AnalyzerFuncs.AnalyzerOLAPMember("[X02 - Month].[February]","","February","","AllIdent","[X02 - Month]","000","A1")</f>
        <v>February</v>
      </c>
      <c r="G12" s="132" t="str">
        <f>_xll.IdPrj.AnalyzerFuncs.AnalyzerOLAPMember("[X02 - Month].[March]","","March","","AllIdent","[X02 - Month]","000","A1")</f>
        <v>March</v>
      </c>
      <c r="H12" s="132" t="str">
        <f>_xll.IdPrj.AnalyzerFuncs.AnalyzerOLAPMember("[X02 - Month].[April]","","April","","AllIdent","[X02 - Month]","000","A1")</f>
        <v>April</v>
      </c>
      <c r="I12" s="132" t="str">
        <f>_xll.IdPrj.AnalyzerFuncs.AnalyzerOLAPMember("[X02 - Month].[May]","","May","","AllIdent","[X02 - Month]","000","A1")</f>
        <v>May</v>
      </c>
      <c r="J12" s="132" t="str">
        <f>_xll.IdPrj.AnalyzerFuncs.AnalyzerOLAPMember("[X02 - Month].[June]","","June","","AllIdent","[X02 - Month]","000","A1")</f>
        <v>June</v>
      </c>
      <c r="K12" s="132" t="str">
        <f>_xll.IdPrj.AnalyzerFuncs.AnalyzerOLAPMember("[X02 - Month].[July]","","July","","AllIdent","[X02 - Month]","000","A1")</f>
        <v>July</v>
      </c>
      <c r="L12" s="132" t="str">
        <f>_xll.IdPrj.AnalyzerFuncs.AnalyzerOLAPMember("[X02 - Month].[August]","","August","","AllIdent","[X02 - Month]","000","A1")</f>
        <v>August</v>
      </c>
      <c r="M12" s="132" t="str">
        <f>_xll.IdPrj.AnalyzerFuncs.AnalyzerOLAPMember("[X02 - Month].[September]","","September","","AllIdent","[X02 - Month]","000","A1")</f>
        <v>September</v>
      </c>
      <c r="N12" s="132" t="str">
        <f>_xll.IdPrj.AnalyzerFuncs.AnalyzerOLAPMember("[X02 - Month].[October]","","October","","AllIdent","[X02 - Month]","000","A1")</f>
        <v>October</v>
      </c>
      <c r="O12" s="132" t="str">
        <f>_xll.IdPrj.AnalyzerFuncs.AnalyzerOLAPMember("[X02 - Month].[November]","","November","","AllIdent","[X02 - Month]","000","A1")</f>
        <v>November</v>
      </c>
      <c r="P12" s="132" t="str">
        <f>_xll.IdPrj.AnalyzerFuncs.AnalyzerOLAPMember("[X02 - Month].[December]","","December","","AllIdent","[X02 - Month]","000","A1")</f>
        <v>December</v>
      </c>
      <c r="Q12" s="132" t="str">
        <f>_xll.IdPrj.AnalyzerFuncs.AnalyzerOLAPMember("[X02 - Month].[January]","","January","","AllIdent","[X02 - Month]","000","A1")</f>
        <v>January</v>
      </c>
      <c r="R12" s="132" t="str">
        <f>_xll.IdPrj.AnalyzerFuncs.AnalyzerOLAPMember("[X02 - Month].[February]","","February","","AllIdent","[X02 - Month]","000","A1")</f>
        <v>February</v>
      </c>
      <c r="S12" s="132" t="str">
        <f>_xll.IdPrj.AnalyzerFuncs.AnalyzerOLAPMember("[X02 - Month].[March]","","March","","AllIdent","[X02 - Month]","000","A1")</f>
        <v>March</v>
      </c>
      <c r="T12" s="132" t="str">
        <f>_xll.IdPrj.AnalyzerFuncs.AnalyzerOLAPMember("[X02 - Month].[April]","","April","","AllIdent","[X02 - Month]","000","A1")</f>
        <v>April</v>
      </c>
      <c r="U12" s="132" t="str">
        <f>_xll.IdPrj.AnalyzerFuncs.AnalyzerOLAPMember("[X02 - Month].[May]","","May","","AllIdent","[X02 - Month]","000","A1")</f>
        <v>May</v>
      </c>
      <c r="V12" s="132" t="str">
        <f>_xll.IdPrj.AnalyzerFuncs.AnalyzerOLAPMember("[X02 - Month].[June]","","June","","AllIdent","[X02 - Month]","000","A1")</f>
        <v>June</v>
      </c>
      <c r="W12" s="132" t="str">
        <f>_xll.IdPrj.AnalyzerFuncs.AnalyzerOLAPMember("[X02 - Month].[July]","","July","","AllIdent","[X02 - Month]","000","A1")</f>
        <v>July</v>
      </c>
      <c r="X12" s="132" t="str">
        <f>_xll.IdPrj.AnalyzerFuncs.AnalyzerOLAPMember("[X02 - Month].[August]","","August","","AllIdent","[X02 - Month]","000","A1")</f>
        <v>August</v>
      </c>
      <c r="Y12" s="132" t="str">
        <f>_xll.IdPrj.AnalyzerFuncs.AnalyzerOLAPMember("[X02 - Month].[September]","","September","","AllIdent","[X02 - Month]","000","A1")</f>
        <v>September</v>
      </c>
      <c r="Z12" s="132" t="str">
        <f>_xll.IdPrj.AnalyzerFuncs.AnalyzerOLAPMember("[X02 - Month].[October]","","October","","AllIdent","[X02 - Month]","000","A1")</f>
        <v>October</v>
      </c>
      <c r="AA12" s="132" t="str">
        <f>_xll.IdPrj.AnalyzerFuncs.AnalyzerOLAPMember("[X02 - Month].[November]","","November","","AllIdent","[X02 - Month]","000","A1")</f>
        <v>November</v>
      </c>
      <c r="AB12" s="132" t="str">
        <f>_xll.IdPrj.AnalyzerFuncs.AnalyzerOLAPMember("[X02 - Month].[December]","","December","","AllIdent","[X02 - Month]","000","A1")</f>
        <v>December</v>
      </c>
      <c r="AC12" s="132" t="str">
        <f>_xll.IdPrj.AnalyzerFuncs.AnalyzerOLAPMember("[X02 - Month].[January]","","January","","AllIdent","[X02 - Month]","000","A1")</f>
        <v>January</v>
      </c>
      <c r="AD12" s="132" t="str">
        <f>_xll.IdPrj.AnalyzerFuncs.AnalyzerOLAPMember("[X02 - Month].[February]","","February","","AllIdent","[X02 - Month]","000","A1")</f>
        <v>February</v>
      </c>
      <c r="AE12" s="132" t="str">
        <f>_xll.IdPrj.AnalyzerFuncs.AnalyzerOLAPMember("[X02 - Month].[March]","","March","","AllIdent","[X02 - Month]","000","A1")</f>
        <v>March</v>
      </c>
      <c r="AF12" s="132" t="str">
        <f>_xll.IdPrj.AnalyzerFuncs.AnalyzerOLAPMember("[X02 - Month].[April]","","April","","AllIdent","[X02 - Month]","000","A1")</f>
        <v>April</v>
      </c>
      <c r="AG12" s="132" t="str">
        <f>_xll.IdPrj.AnalyzerFuncs.AnalyzerOLAPMember("[X02 - Month].[May]","","May","","AllIdent","[X02 - Month]","000","A1")</f>
        <v>May</v>
      </c>
      <c r="AH12" s="132" t="str">
        <f>_xll.IdPrj.AnalyzerFuncs.AnalyzerOLAPMember("[X02 - Month].[June]","","June","","AllIdent","[X02 - Month]","000","A1")</f>
        <v>June</v>
      </c>
      <c r="AI12" s="132" t="str">
        <f>_xll.IdPrj.AnalyzerFuncs.AnalyzerOLAPMember("[X02 - Month].[July]","","July","","AllIdent","[X02 - Month]","000","A1")</f>
        <v>July</v>
      </c>
      <c r="AJ12" s="132" t="str">
        <f>_xll.IdPrj.AnalyzerFuncs.AnalyzerOLAPMember("[X02 - Month].[August]","","August","","AllIdent","[X02 - Month]","000","A1")</f>
        <v>August</v>
      </c>
      <c r="AK12" s="132" t="str">
        <f>_xll.IdPrj.AnalyzerFuncs.AnalyzerOLAPMember("[X02 - Month].[September]","","September","","AllIdent","[X02 - Month]","000","A1")</f>
        <v>September</v>
      </c>
      <c r="AL12" s="132" t="str">
        <f>_xll.IdPrj.AnalyzerFuncs.AnalyzerOLAPMember("[X02 - Month].[October]","","October","","AllIdent","[X02 - Month]","000","A1")</f>
        <v>October</v>
      </c>
      <c r="AM12" s="132" t="str">
        <f>_xll.IdPrj.AnalyzerFuncs.AnalyzerOLAPMember("[X02 - Month].[November]","","November","","AllIdent","[X02 - Month]","000","A1")</f>
        <v>November</v>
      </c>
      <c r="AN12" s="132" t="str">
        <f>_xll.IdPrj.AnalyzerFuncs.AnalyzerOLAPMember("[X02 - Month].[December]","","December","","AllIdent","[X02 - Month]","000","A1")</f>
        <v>December</v>
      </c>
      <c r="AO12" s="132" t="str">
        <f>_xll.IdPrj.AnalyzerFuncs.AnalyzerOLAPMember("[X02 - Month].[January]","","January","","AllIdent","[X02 - Month]","000","A1")</f>
        <v>January</v>
      </c>
      <c r="AP12" s="132" t="str">
        <f>_xll.IdPrj.AnalyzerFuncs.AnalyzerOLAPMember("[X02 - Month].[February]","","February","","AllIdent","[X02 - Month]","000","A1")</f>
        <v>February</v>
      </c>
      <c r="AQ12" s="132" t="str">
        <f>_xll.IdPrj.AnalyzerFuncs.AnalyzerOLAPMember("[X02 - Month].[March]","","March","","AllIdent","[X02 - Month]","000","A1")</f>
        <v>March</v>
      </c>
      <c r="AR12" s="132" t="str">
        <f>_xll.IdPrj.AnalyzerFuncs.AnalyzerOLAPMember("[X02 - Month].[April]","","April","","AllIdent","[X02 - Month]","000","A1")</f>
        <v>April</v>
      </c>
      <c r="AS12" s="132" t="str">
        <f>_xll.IdPrj.AnalyzerFuncs.AnalyzerOLAPMember("[X02 - Month].[May]","","May","","AllIdent","[X02 - Month]","000","A1")</f>
        <v>May</v>
      </c>
      <c r="AT12" s="132" t="str">
        <f>_xll.IdPrj.AnalyzerFuncs.AnalyzerOLAPMember("[X02 - Month].[June]","","June","","AllIdent","[X02 - Month]","000","A1")</f>
        <v>June</v>
      </c>
      <c r="AU12" s="132" t="str">
        <f>_xll.IdPrj.AnalyzerFuncs.AnalyzerOLAPMember("[X02 - Month].[July]","","July","","AllIdent","[X02 - Month]","000","A1")</f>
        <v>July</v>
      </c>
      <c r="AV12" s="132" t="str">
        <f>_xll.IdPrj.AnalyzerFuncs.AnalyzerOLAPMember("[X02 - Month].[August]","","August","","AllIdent","[X02 - Month]","000","A1")</f>
        <v>August</v>
      </c>
      <c r="AW12" s="132" t="str">
        <f>_xll.IdPrj.AnalyzerFuncs.AnalyzerOLAPMember("[X02 - Month].[September]","","September","","AllIdent","[X02 - Month]","000","A1")</f>
        <v>September</v>
      </c>
      <c r="AX12" s="132" t="str">
        <f>_xll.IdPrj.AnalyzerFuncs.AnalyzerOLAPMember("[X02 - Month].[October]","","October","","AllIdent","[X02 - Month]","000","A1")</f>
        <v>October</v>
      </c>
      <c r="AY12" s="132" t="str">
        <f>_xll.IdPrj.AnalyzerFuncs.AnalyzerOLAPMember("[X02 - Month].[November]","","November","","AllIdent","[X02 - Month]","000","A1")</f>
        <v>November</v>
      </c>
      <c r="AZ12" s="132" t="str">
        <f>_xll.IdPrj.AnalyzerFuncs.AnalyzerOLAPMember("[X02 - Month].[December]","","December","","AllIdent","[X02 - Month]","000","A1")</f>
        <v>December</v>
      </c>
      <c r="BA12" s="132" t="str">
        <f>_xll.IdPrj.AnalyzerFuncs.AnalyzerOLAPMember("[X02 - Month].[X02 - Month].&amp;[0]","","DO NOT USE","","-524278.-524278.0","[X02 - Month]","000","A1")</f>
        <v>DO NOT USE</v>
      </c>
    </row>
    <row r="13" spans="1:53" s="126" customFormat="1" ht="18" customHeight="1" collapsed="1">
      <c r="D13" s="131"/>
      <c r="E13" s="244" t="str">
        <f>+"31-01-"&amp;MID($A$1,3,2)</f>
        <v>31-01-13</v>
      </c>
      <c r="F13" s="245" t="str">
        <f>+"29-02-"&amp;MID($A$1,3,2)</f>
        <v>29-02-13</v>
      </c>
      <c r="G13" s="245" t="str">
        <f>+"31-03-"&amp;MID(A1,3,2)</f>
        <v>31-03-13</v>
      </c>
      <c r="H13" s="261" t="str">
        <f>+"30-04-"&amp;MID(A1,3,2)</f>
        <v>30-04-13</v>
      </c>
      <c r="I13" s="245" t="str">
        <f>+"31-05-"&amp;MID(A1,3,2)</f>
        <v>31-05-13</v>
      </c>
      <c r="J13" s="245" t="str">
        <f>+"30-06-"&amp;MID(A1,3,2)</f>
        <v>30-06-13</v>
      </c>
      <c r="K13" s="245" t="str">
        <f>+"30-07-"&amp;MID($A$1,3,2)</f>
        <v>30-07-13</v>
      </c>
      <c r="L13" s="245" t="str">
        <f>+"31-08-"&amp;MID(A1,3,2)</f>
        <v>31-08-13</v>
      </c>
      <c r="M13" s="245" t="str">
        <f>+"30-09-"&amp;MID(A1,3,2)</f>
        <v>30-09-13</v>
      </c>
      <c r="N13" s="245" t="str">
        <f>+"31-10-"&amp;MID(A1,3,2)</f>
        <v>31-10-13</v>
      </c>
      <c r="O13" s="245" t="str">
        <f>+"30-11-"&amp;MID(A1,3,2)</f>
        <v>30-11-13</v>
      </c>
      <c r="P13" s="246" t="str">
        <f>+"31-12-"&amp;MID(A1,3,2)</f>
        <v>31-12-13</v>
      </c>
      <c r="Q13" s="244" t="str">
        <f>+"31-01-"&amp;MID($A$1,3,2)</f>
        <v>31-01-13</v>
      </c>
      <c r="R13" s="245" t="str">
        <f>+"28-02-"&amp;MID($A$1,3,2)</f>
        <v>28-02-13</v>
      </c>
      <c r="S13" s="245" t="str">
        <f>+"31-03-"&amp;MID($A$1,3,2)</f>
        <v>31-03-13</v>
      </c>
      <c r="T13" s="245" t="str">
        <f>+"30-04-"&amp;MID($A$1,3,2)</f>
        <v>30-04-13</v>
      </c>
      <c r="U13" s="245" t="str">
        <f>+"31-05-"&amp;MID($A$1,3,2)</f>
        <v>31-05-13</v>
      </c>
      <c r="V13" s="245" t="str">
        <f>+"30-06-"&amp;MID($A$1,3,2)</f>
        <v>30-06-13</v>
      </c>
      <c r="W13" s="245" t="str">
        <f>+"31-07-"&amp;MID($A$1,3,2)</f>
        <v>31-07-13</v>
      </c>
      <c r="X13" s="245" t="str">
        <f>+"31-08-"&amp;MID($A$1,3,2)</f>
        <v>31-08-13</v>
      </c>
      <c r="Y13" s="245" t="str">
        <f>+"30-09-"&amp;MID($A$1,3,2)</f>
        <v>30-09-13</v>
      </c>
      <c r="Z13" s="245" t="str">
        <f>+"31-10-"&amp;MID($A$1,3,2)</f>
        <v>31-10-13</v>
      </c>
      <c r="AA13" s="245" t="str">
        <f>+"30-11-"&amp;MID($A$1,3,2)</f>
        <v>30-11-13</v>
      </c>
      <c r="AB13" s="246" t="str">
        <f>+"31-12-"&amp;MID($A$1,3,2)</f>
        <v>31-12-13</v>
      </c>
      <c r="AC13" s="244" t="str">
        <f>+"31-01-"&amp;MID($A$1,3,2)</f>
        <v>31-01-13</v>
      </c>
      <c r="AD13" s="245" t="str">
        <f>+"28-02-"&amp;MID($A$1,3,2)</f>
        <v>28-02-13</v>
      </c>
      <c r="AE13" s="245" t="str">
        <f>+"31-03-"&amp;MID($A$1,3,2)</f>
        <v>31-03-13</v>
      </c>
      <c r="AF13" s="245" t="str">
        <f>+"30-04-"&amp;MID($A$1,3,2)</f>
        <v>30-04-13</v>
      </c>
      <c r="AG13" s="245" t="str">
        <f>+"31-05-"&amp;MID($A$1,3,2)</f>
        <v>31-05-13</v>
      </c>
      <c r="AH13" s="245" t="str">
        <f>+"30-06-"&amp;MID($A$1,3,2)</f>
        <v>30-06-13</v>
      </c>
      <c r="AI13" s="245" t="str">
        <f>+"31-07-"&amp;MID($A$1,3,2)</f>
        <v>31-07-13</v>
      </c>
      <c r="AJ13" s="245" t="str">
        <f>+"31-08-"&amp;MID($A$1,3,2)</f>
        <v>31-08-13</v>
      </c>
      <c r="AK13" s="245" t="str">
        <f>+"30-09-"&amp;MID($A$1,3,2)</f>
        <v>30-09-13</v>
      </c>
      <c r="AL13" s="245" t="str">
        <f>+"31-10-"&amp;MID($A$1,3,2)</f>
        <v>31-10-13</v>
      </c>
      <c r="AM13" s="245" t="str">
        <f>+"30-11-"&amp;MID($A$1,3,2)</f>
        <v>30-11-13</v>
      </c>
      <c r="AN13" s="246" t="str">
        <f>+"31-12-"&amp;MID($A$1,3,2)</f>
        <v>31-12-13</v>
      </c>
      <c r="AO13" s="244" t="str">
        <f>+"31-01-"&amp;MID($A$1,3,2)-1</f>
        <v>31-01-12</v>
      </c>
      <c r="AP13" s="245" t="str">
        <f>+"28-02-"&amp;MID($A$1,3,2)-1</f>
        <v>28-02-12</v>
      </c>
      <c r="AQ13" s="245" t="str">
        <f>+"31-03-"&amp;MID($A$1,3,2)-1</f>
        <v>31-03-12</v>
      </c>
      <c r="AR13" s="245" t="str">
        <f>+"30-04-"&amp;MID($A$1,3,2)-1</f>
        <v>30-04-12</v>
      </c>
      <c r="AS13" s="245" t="str">
        <f>+"31-05-"&amp;MID($A$1,3,2)-1</f>
        <v>31-05-12</v>
      </c>
      <c r="AT13" s="245" t="str">
        <f>+"30-06-"&amp;MID($A$1,3,2)-1</f>
        <v>30-06-12</v>
      </c>
      <c r="AU13" s="245" t="str">
        <f>+"31-07-"&amp;MID($A$1,3,2)-1</f>
        <v>31-07-12</v>
      </c>
      <c r="AV13" s="245" t="str">
        <f>+"31-08-"&amp;MID($A$1,3,2)-1</f>
        <v>31-08-12</v>
      </c>
      <c r="AW13" s="245" t="str">
        <f>+"30-09-"&amp;MID($A$1,3,2)-1</f>
        <v>30-09-12</v>
      </c>
      <c r="AX13" s="245" t="str">
        <f>+"31-10-"&amp;MID($A$1,3,2)-1</f>
        <v>31-10-12</v>
      </c>
      <c r="AY13" s="245" t="str">
        <f>+"30-11-"&amp;MID($A$1,3,2)-1</f>
        <v>30-11-12</v>
      </c>
      <c r="AZ13" s="246" t="str">
        <f>+"31-12-"&amp;MID($A$1,3,2)-1</f>
        <v>31-12-12</v>
      </c>
      <c r="BA13" s="247" t="str">
        <f>+"31-12-"&amp;MID($A$1,3,2)-1</f>
        <v>31-12-12</v>
      </c>
    </row>
    <row r="14" spans="1:53" s="126" customFormat="1" ht="18" customHeight="1" thickBot="1">
      <c r="D14" s="131"/>
      <c r="E14" s="248" t="s">
        <v>7</v>
      </c>
      <c r="F14" s="249" t="s">
        <v>7</v>
      </c>
      <c r="G14" s="249" t="s">
        <v>7</v>
      </c>
      <c r="H14" s="262" t="s">
        <v>7</v>
      </c>
      <c r="I14" s="249" t="s">
        <v>7</v>
      </c>
      <c r="J14" s="249" t="s">
        <v>7</v>
      </c>
      <c r="K14" s="249" t="s">
        <v>7</v>
      </c>
      <c r="L14" s="249" t="s">
        <v>7</v>
      </c>
      <c r="M14" s="249" t="s">
        <v>7</v>
      </c>
      <c r="N14" s="249" t="s">
        <v>7</v>
      </c>
      <c r="O14" s="249" t="s">
        <v>7</v>
      </c>
      <c r="P14" s="250" t="s">
        <v>7</v>
      </c>
      <c r="Q14" s="248" t="s">
        <v>145</v>
      </c>
      <c r="R14" s="249" t="s">
        <v>145</v>
      </c>
      <c r="S14" s="249" t="s">
        <v>145</v>
      </c>
      <c r="T14" s="249" t="s">
        <v>145</v>
      </c>
      <c r="U14" s="249" t="s">
        <v>145</v>
      </c>
      <c r="V14" s="249" t="s">
        <v>145</v>
      </c>
      <c r="W14" s="249" t="s">
        <v>145</v>
      </c>
      <c r="X14" s="249" t="s">
        <v>145</v>
      </c>
      <c r="Y14" s="249" t="s">
        <v>145</v>
      </c>
      <c r="Z14" s="249" t="s">
        <v>145</v>
      </c>
      <c r="AA14" s="249" t="s">
        <v>145</v>
      </c>
      <c r="AB14" s="250" t="s">
        <v>145</v>
      </c>
      <c r="AC14" s="248" t="s">
        <v>9</v>
      </c>
      <c r="AD14" s="249" t="s">
        <v>9</v>
      </c>
      <c r="AE14" s="249" t="s">
        <v>9</v>
      </c>
      <c r="AF14" s="249" t="s">
        <v>9</v>
      </c>
      <c r="AG14" s="249" t="s">
        <v>9</v>
      </c>
      <c r="AH14" s="249" t="s">
        <v>9</v>
      </c>
      <c r="AI14" s="249" t="s">
        <v>9</v>
      </c>
      <c r="AJ14" s="249" t="s">
        <v>9</v>
      </c>
      <c r="AK14" s="249" t="s">
        <v>9</v>
      </c>
      <c r="AL14" s="249" t="s">
        <v>9</v>
      </c>
      <c r="AM14" s="249" t="s">
        <v>9</v>
      </c>
      <c r="AN14" s="250" t="s">
        <v>9</v>
      </c>
      <c r="AO14" s="248" t="s">
        <v>7</v>
      </c>
      <c r="AP14" s="249" t="s">
        <v>7</v>
      </c>
      <c r="AQ14" s="249" t="s">
        <v>7</v>
      </c>
      <c r="AR14" s="249" t="s">
        <v>7</v>
      </c>
      <c r="AS14" s="249" t="s">
        <v>7</v>
      </c>
      <c r="AT14" s="249" t="s">
        <v>7</v>
      </c>
      <c r="AU14" s="249" t="s">
        <v>7</v>
      </c>
      <c r="AV14" s="249" t="s">
        <v>7</v>
      </c>
      <c r="AW14" s="249" t="s">
        <v>7</v>
      </c>
      <c r="AX14" s="249" t="s">
        <v>7</v>
      </c>
      <c r="AY14" s="249" t="s">
        <v>7</v>
      </c>
      <c r="AZ14" s="250" t="s">
        <v>7</v>
      </c>
      <c r="BA14" s="251" t="s">
        <v>26</v>
      </c>
    </row>
    <row r="15" spans="1:53" s="123" customFormat="1" ht="12.75" customHeight="1"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5"/>
    </row>
    <row r="16" spans="1:53" s="109" customFormat="1" ht="5.25" customHeight="1" thickBot="1">
      <c r="D16" s="122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</row>
    <row r="17" spans="3:53" s="100" customFormat="1" ht="21" customHeight="1">
      <c r="D17" s="252" t="s">
        <v>76</v>
      </c>
      <c r="E17" s="228">
        <f t="shared" ref="E17:AN17" si="1">E36</f>
        <v>24677.205999999998</v>
      </c>
      <c r="F17" s="229">
        <f t="shared" si="1"/>
        <v>24647.983</v>
      </c>
      <c r="G17" s="229">
        <f t="shared" si="1"/>
        <v>23119.119999999999</v>
      </c>
      <c r="H17" s="231">
        <f t="shared" si="1"/>
        <v>22916.714</v>
      </c>
      <c r="I17" s="229">
        <f t="shared" si="1"/>
        <v>0</v>
      </c>
      <c r="J17" s="229">
        <f t="shared" si="1"/>
        <v>0</v>
      </c>
      <c r="K17" s="229">
        <f t="shared" si="1"/>
        <v>0</v>
      </c>
      <c r="L17" s="229">
        <f t="shared" si="1"/>
        <v>0</v>
      </c>
      <c r="M17" s="229">
        <f t="shared" si="1"/>
        <v>0</v>
      </c>
      <c r="N17" s="229">
        <f t="shared" si="1"/>
        <v>0</v>
      </c>
      <c r="O17" s="229">
        <f t="shared" si="1"/>
        <v>0</v>
      </c>
      <c r="P17" s="230">
        <f t="shared" si="1"/>
        <v>0</v>
      </c>
      <c r="Q17" s="228">
        <f t="shared" ref="Q17:AB17" si="2">Q36</f>
        <v>24677.205999999998</v>
      </c>
      <c r="R17" s="229">
        <f t="shared" si="2"/>
        <v>24647.983</v>
      </c>
      <c r="S17" s="229">
        <f t="shared" si="2"/>
        <v>23119.119999999999</v>
      </c>
      <c r="T17" s="229">
        <f t="shared" si="2"/>
        <v>22990.572</v>
      </c>
      <c r="U17" s="229">
        <f t="shared" si="2"/>
        <v>23258.081999999999</v>
      </c>
      <c r="V17" s="229">
        <f t="shared" si="2"/>
        <v>23027.011999999999</v>
      </c>
      <c r="W17" s="229">
        <f t="shared" si="2"/>
        <v>22794.444</v>
      </c>
      <c r="X17" s="229">
        <f t="shared" si="2"/>
        <v>22870.564999999999</v>
      </c>
      <c r="Y17" s="229">
        <f t="shared" si="2"/>
        <v>22639.506000000001</v>
      </c>
      <c r="Z17" s="229">
        <f t="shared" si="2"/>
        <v>22406.877</v>
      </c>
      <c r="AA17" s="229">
        <f t="shared" si="2"/>
        <v>22253.558000000001</v>
      </c>
      <c r="AB17" s="230">
        <f t="shared" si="2"/>
        <v>22020.01</v>
      </c>
      <c r="AC17" s="228">
        <f t="shared" si="1"/>
        <v>24584.951000000001</v>
      </c>
      <c r="AD17" s="229">
        <f t="shared" si="1"/>
        <v>24991.79</v>
      </c>
      <c r="AE17" s="229">
        <f t="shared" si="1"/>
        <v>24755.796999999999</v>
      </c>
      <c r="AF17" s="229">
        <f t="shared" si="1"/>
        <v>24622.866000000002</v>
      </c>
      <c r="AG17" s="229">
        <f t="shared" si="1"/>
        <v>24886.233</v>
      </c>
      <c r="AH17" s="229">
        <f t="shared" si="1"/>
        <v>24650.952000000001</v>
      </c>
      <c r="AI17" s="229">
        <f t="shared" si="1"/>
        <v>23408.655999999999</v>
      </c>
      <c r="AJ17" s="229">
        <f t="shared" si="1"/>
        <v>23493.109</v>
      </c>
      <c r="AK17" s="229">
        <f t="shared" si="1"/>
        <v>23270.382000000001</v>
      </c>
      <c r="AL17" s="229">
        <f t="shared" si="1"/>
        <v>23046.084999999999</v>
      </c>
      <c r="AM17" s="229">
        <f t="shared" si="1"/>
        <v>22901.098000000002</v>
      </c>
      <c r="AN17" s="230">
        <f t="shared" si="1"/>
        <v>22676.702000000001</v>
      </c>
      <c r="AO17" s="228">
        <f t="shared" ref="AO17:BA17" si="3">AO36</f>
        <v>3458.931</v>
      </c>
      <c r="AP17" s="229">
        <f t="shared" si="3"/>
        <v>28045.738000000001</v>
      </c>
      <c r="AQ17" s="229">
        <f t="shared" si="3"/>
        <v>27776.31</v>
      </c>
      <c r="AR17" s="229">
        <f t="shared" si="3"/>
        <v>27571.5</v>
      </c>
      <c r="AS17" s="229">
        <f t="shared" si="3"/>
        <v>27399.474999999999</v>
      </c>
      <c r="AT17" s="229">
        <f t="shared" si="3"/>
        <v>27172.93</v>
      </c>
      <c r="AU17" s="229">
        <f t="shared" si="3"/>
        <v>26900.736000000001</v>
      </c>
      <c r="AV17" s="229">
        <f t="shared" si="3"/>
        <v>26648.388999999999</v>
      </c>
      <c r="AW17" s="229">
        <f t="shared" si="3"/>
        <v>26402.967000000001</v>
      </c>
      <c r="AX17" s="229">
        <f t="shared" si="3"/>
        <v>26169.718000000001</v>
      </c>
      <c r="AY17" s="229">
        <f t="shared" si="3"/>
        <v>25827.83</v>
      </c>
      <c r="AZ17" s="230">
        <f t="shared" si="3"/>
        <v>23747.594000000001</v>
      </c>
      <c r="BA17" s="231">
        <f t="shared" si="3"/>
        <v>24818.534</v>
      </c>
    </row>
    <row r="18" spans="3:53" s="100" customFormat="1" ht="21" customHeight="1">
      <c r="D18" s="253" t="s">
        <v>75</v>
      </c>
      <c r="E18" s="232">
        <f t="shared" ref="E18:AN18" si="4">E42</f>
        <v>154416.21099999998</v>
      </c>
      <c r="F18" s="233">
        <f t="shared" si="4"/>
        <v>154430.478</v>
      </c>
      <c r="G18" s="233">
        <f t="shared" si="4"/>
        <v>154319.05900000001</v>
      </c>
      <c r="H18" s="235">
        <f t="shared" si="4"/>
        <v>154363.796</v>
      </c>
      <c r="I18" s="233">
        <f t="shared" si="4"/>
        <v>0</v>
      </c>
      <c r="J18" s="233">
        <f t="shared" si="4"/>
        <v>0</v>
      </c>
      <c r="K18" s="233">
        <f t="shared" si="4"/>
        <v>0</v>
      </c>
      <c r="L18" s="233">
        <f t="shared" si="4"/>
        <v>0</v>
      </c>
      <c r="M18" s="233">
        <f t="shared" si="4"/>
        <v>0</v>
      </c>
      <c r="N18" s="233">
        <f t="shared" si="4"/>
        <v>0</v>
      </c>
      <c r="O18" s="233">
        <f t="shared" si="4"/>
        <v>0</v>
      </c>
      <c r="P18" s="234">
        <f t="shared" si="4"/>
        <v>0</v>
      </c>
      <c r="Q18" s="232">
        <f t="shared" ref="Q18:AB18" si="5">Q42</f>
        <v>154416.21099999998</v>
      </c>
      <c r="R18" s="233">
        <f t="shared" si="5"/>
        <v>154430.478</v>
      </c>
      <c r="S18" s="233">
        <f t="shared" si="5"/>
        <v>154319.05900000001</v>
      </c>
      <c r="T18" s="233">
        <f t="shared" si="5"/>
        <v>154471.00900000002</v>
      </c>
      <c r="U18" s="233">
        <f t="shared" si="5"/>
        <v>154385.79300000001</v>
      </c>
      <c r="V18" s="233">
        <f t="shared" si="5"/>
        <v>154301.05700000003</v>
      </c>
      <c r="W18" s="233">
        <f t="shared" si="5"/>
        <v>154481.16200000001</v>
      </c>
      <c r="X18" s="233">
        <f t="shared" si="5"/>
        <v>154406.774</v>
      </c>
      <c r="Y18" s="233">
        <f t="shared" si="5"/>
        <v>154317.86700000003</v>
      </c>
      <c r="Z18" s="233">
        <f t="shared" si="5"/>
        <v>154228.66900000002</v>
      </c>
      <c r="AA18" s="233">
        <f t="shared" si="5"/>
        <v>154139.92200000002</v>
      </c>
      <c r="AB18" s="234">
        <f t="shared" si="5"/>
        <v>154050.85400000002</v>
      </c>
      <c r="AC18" s="232">
        <f t="shared" si="4"/>
        <v>156594.97099999999</v>
      </c>
      <c r="AD18" s="233">
        <f t="shared" si="4"/>
        <v>156505.33300000001</v>
      </c>
      <c r="AE18" s="233">
        <f t="shared" si="4"/>
        <v>156384.44400000002</v>
      </c>
      <c r="AF18" s="233">
        <f t="shared" si="4"/>
        <v>156533.42599999998</v>
      </c>
      <c r="AG18" s="233">
        <f t="shared" si="4"/>
        <v>156448.93899999998</v>
      </c>
      <c r="AH18" s="233">
        <f t="shared" si="4"/>
        <v>156364.93099999998</v>
      </c>
      <c r="AI18" s="233">
        <f t="shared" si="4"/>
        <v>156116.73000000001</v>
      </c>
      <c r="AJ18" s="233">
        <f t="shared" si="4"/>
        <v>156047.72099999999</v>
      </c>
      <c r="AK18" s="233">
        <f t="shared" si="4"/>
        <v>155964.193</v>
      </c>
      <c r="AL18" s="233">
        <f t="shared" si="4"/>
        <v>155880.375</v>
      </c>
      <c r="AM18" s="233">
        <f t="shared" si="4"/>
        <v>155797.00700000001</v>
      </c>
      <c r="AN18" s="234">
        <f t="shared" si="4"/>
        <v>155713.31899999999</v>
      </c>
      <c r="AO18" s="232">
        <f t="shared" ref="AO18:BA18" si="6">AO42</f>
        <v>150367.54</v>
      </c>
      <c r="AP18" s="233">
        <f t="shared" si="6"/>
        <v>156933.75699999998</v>
      </c>
      <c r="AQ18" s="233">
        <f t="shared" si="6"/>
        <v>156852.83899999998</v>
      </c>
      <c r="AR18" s="233">
        <f t="shared" si="6"/>
        <v>156839.18100000001</v>
      </c>
      <c r="AS18" s="233">
        <f t="shared" si="6"/>
        <v>156882.43700000001</v>
      </c>
      <c r="AT18" s="233">
        <f t="shared" si="6"/>
        <v>156873.15600000002</v>
      </c>
      <c r="AU18" s="233">
        <f t="shared" si="6"/>
        <v>156850.90400000001</v>
      </c>
      <c r="AV18" s="233">
        <f t="shared" si="6"/>
        <v>156775.18700000001</v>
      </c>
      <c r="AW18" s="233">
        <f t="shared" si="6"/>
        <v>156826.93599999999</v>
      </c>
      <c r="AX18" s="233">
        <f t="shared" si="6"/>
        <v>156674.514</v>
      </c>
      <c r="AY18" s="233">
        <f t="shared" si="6"/>
        <v>155980.598</v>
      </c>
      <c r="AZ18" s="234">
        <f t="shared" si="6"/>
        <v>154403.875</v>
      </c>
      <c r="BA18" s="235">
        <f t="shared" si="6"/>
        <v>156720.27800000002</v>
      </c>
    </row>
    <row r="19" spans="3:53" s="100" customFormat="1" ht="23.25" customHeight="1">
      <c r="C19" s="118"/>
      <c r="D19" s="253" t="s">
        <v>74</v>
      </c>
      <c r="E19" s="232">
        <f t="shared" ref="E19:AN19" si="7">E97</f>
        <v>24747.141820000001</v>
      </c>
      <c r="F19" s="233">
        <f t="shared" si="7"/>
        <v>24214.004349999996</v>
      </c>
      <c r="G19" s="233">
        <f t="shared" si="7"/>
        <v>24044.724659999996</v>
      </c>
      <c r="H19" s="235">
        <f t="shared" si="7"/>
        <v>31688.098820000003</v>
      </c>
      <c r="I19" s="233">
        <f t="shared" si="7"/>
        <v>0</v>
      </c>
      <c r="J19" s="233">
        <f t="shared" si="7"/>
        <v>0</v>
      </c>
      <c r="K19" s="233">
        <f t="shared" si="7"/>
        <v>0</v>
      </c>
      <c r="L19" s="233">
        <f t="shared" si="7"/>
        <v>0</v>
      </c>
      <c r="M19" s="233">
        <f t="shared" si="7"/>
        <v>0</v>
      </c>
      <c r="N19" s="233">
        <f t="shared" si="7"/>
        <v>0</v>
      </c>
      <c r="O19" s="233">
        <f t="shared" si="7"/>
        <v>0</v>
      </c>
      <c r="P19" s="234">
        <f t="shared" si="7"/>
        <v>0</v>
      </c>
      <c r="Q19" s="232">
        <f t="shared" ref="Q19:AB19" si="8">Q97</f>
        <v>24747.141820000001</v>
      </c>
      <c r="R19" s="233">
        <f t="shared" si="8"/>
        <v>24214.004349999996</v>
      </c>
      <c r="S19" s="233">
        <f t="shared" si="8"/>
        <v>24044.724659999996</v>
      </c>
      <c r="T19" s="233">
        <f t="shared" si="8"/>
        <v>31790.756999999998</v>
      </c>
      <c r="U19" s="233">
        <f t="shared" si="8"/>
        <v>32325.302000000003</v>
      </c>
      <c r="V19" s="233">
        <f t="shared" si="8"/>
        <v>32155.707999999999</v>
      </c>
      <c r="W19" s="233">
        <f t="shared" si="8"/>
        <v>29098.136999999999</v>
      </c>
      <c r="X19" s="233">
        <f t="shared" si="8"/>
        <v>30087.839</v>
      </c>
      <c r="Y19" s="233">
        <f t="shared" si="8"/>
        <v>28004.529000000002</v>
      </c>
      <c r="Z19" s="233">
        <f t="shared" si="8"/>
        <v>25175.982</v>
      </c>
      <c r="AA19" s="233">
        <f t="shared" si="8"/>
        <v>25138.482000000004</v>
      </c>
      <c r="AB19" s="234">
        <f t="shared" si="8"/>
        <v>21383.370999999999</v>
      </c>
      <c r="AC19" s="232">
        <f t="shared" si="7"/>
        <v>28468.941999999992</v>
      </c>
      <c r="AD19" s="233">
        <f t="shared" si="7"/>
        <v>25328.738999999998</v>
      </c>
      <c r="AE19" s="233">
        <f t="shared" si="7"/>
        <v>27995.418000000001</v>
      </c>
      <c r="AF19" s="233">
        <f t="shared" si="7"/>
        <v>32690.690999999999</v>
      </c>
      <c r="AG19" s="233">
        <f t="shared" si="7"/>
        <v>34293.035000000003</v>
      </c>
      <c r="AH19" s="233">
        <f t="shared" si="7"/>
        <v>34446.090000000004</v>
      </c>
      <c r="AI19" s="233">
        <f t="shared" si="7"/>
        <v>31654.136999999995</v>
      </c>
      <c r="AJ19" s="233">
        <f t="shared" si="7"/>
        <v>33157.989000000001</v>
      </c>
      <c r="AK19" s="233">
        <f t="shared" si="7"/>
        <v>31080.828000000001</v>
      </c>
      <c r="AL19" s="233">
        <f t="shared" si="7"/>
        <v>28050.982</v>
      </c>
      <c r="AM19" s="233">
        <f t="shared" si="7"/>
        <v>28210.631000000005</v>
      </c>
      <c r="AN19" s="234">
        <f t="shared" si="7"/>
        <v>24303.670000000002</v>
      </c>
      <c r="AO19" s="232">
        <f t="shared" ref="AO19:BA19" si="9">AO97</f>
        <v>1631.817</v>
      </c>
      <c r="AP19" s="233">
        <f t="shared" si="9"/>
        <v>38967.991337400003</v>
      </c>
      <c r="AQ19" s="233">
        <f t="shared" si="9"/>
        <v>37466.217796799989</v>
      </c>
      <c r="AR19" s="233">
        <f t="shared" si="9"/>
        <v>36423.756000000001</v>
      </c>
      <c r="AS19" s="233">
        <f t="shared" si="9"/>
        <v>39496.633789999993</v>
      </c>
      <c r="AT19" s="233">
        <f t="shared" si="9"/>
        <v>32319.879609999996</v>
      </c>
      <c r="AU19" s="233">
        <f t="shared" si="9"/>
        <v>35527.305010000004</v>
      </c>
      <c r="AV19" s="233">
        <f t="shared" si="9"/>
        <v>35312.683219999999</v>
      </c>
      <c r="AW19" s="233">
        <f t="shared" si="9"/>
        <v>30690.992570000002</v>
      </c>
      <c r="AX19" s="233">
        <f t="shared" si="9"/>
        <v>37114.059989999994</v>
      </c>
      <c r="AY19" s="233">
        <f t="shared" si="9"/>
        <v>34116.813089999996</v>
      </c>
      <c r="AZ19" s="234">
        <f t="shared" si="9"/>
        <v>21993.915300000004</v>
      </c>
      <c r="BA19" s="235">
        <f t="shared" si="9"/>
        <v>31658.121999999999</v>
      </c>
    </row>
    <row r="20" spans="3:53" s="100" customFormat="1" ht="23.25" customHeight="1" thickBot="1">
      <c r="C20" s="118"/>
      <c r="D20" s="253" t="s">
        <v>73</v>
      </c>
      <c r="E20" s="232">
        <f t="shared" ref="E20:AN20" si="10">E101</f>
        <v>-12064.016</v>
      </c>
      <c r="F20" s="233">
        <f t="shared" si="10"/>
        <v>-13176.505999999998</v>
      </c>
      <c r="G20" s="233">
        <f t="shared" si="10"/>
        <v>-14689.872000000001</v>
      </c>
      <c r="H20" s="235">
        <f t="shared" si="10"/>
        <v>-16654.674000000003</v>
      </c>
      <c r="I20" s="233">
        <f t="shared" si="10"/>
        <v>0</v>
      </c>
      <c r="J20" s="233">
        <f t="shared" si="10"/>
        <v>0</v>
      </c>
      <c r="K20" s="233">
        <f t="shared" si="10"/>
        <v>0</v>
      </c>
      <c r="L20" s="233">
        <f t="shared" si="10"/>
        <v>0</v>
      </c>
      <c r="M20" s="233">
        <f t="shared" si="10"/>
        <v>0</v>
      </c>
      <c r="N20" s="233">
        <f t="shared" si="10"/>
        <v>0</v>
      </c>
      <c r="O20" s="233">
        <f t="shared" si="10"/>
        <v>0</v>
      </c>
      <c r="P20" s="234">
        <f t="shared" si="10"/>
        <v>0</v>
      </c>
      <c r="Q20" s="232">
        <f t="shared" ref="Q20:AB20" si="11">Q101</f>
        <v>-12064.016</v>
      </c>
      <c r="R20" s="233">
        <f t="shared" si="11"/>
        <v>-13176.505999999998</v>
      </c>
      <c r="S20" s="233">
        <f t="shared" si="11"/>
        <v>-14689.872000000001</v>
      </c>
      <c r="T20" s="233">
        <f t="shared" si="11"/>
        <v>-16036.3</v>
      </c>
      <c r="U20" s="233">
        <f t="shared" si="11"/>
        <v>-16572.62</v>
      </c>
      <c r="V20" s="233">
        <f t="shared" si="11"/>
        <v>-17625.939999999999</v>
      </c>
      <c r="W20" s="233">
        <f t="shared" si="11"/>
        <v>-17170.508999999998</v>
      </c>
      <c r="X20" s="233">
        <f t="shared" si="11"/>
        <v>-16746.828999999998</v>
      </c>
      <c r="Y20" s="233">
        <f t="shared" si="11"/>
        <v>-17326.148999999998</v>
      </c>
      <c r="Z20" s="233">
        <f t="shared" si="11"/>
        <v>-17691.824000000001</v>
      </c>
      <c r="AA20" s="233">
        <f t="shared" si="11"/>
        <v>-17791.144</v>
      </c>
      <c r="AB20" s="234">
        <f t="shared" si="11"/>
        <v>-16159.464</v>
      </c>
      <c r="AC20" s="232">
        <f t="shared" si="10"/>
        <v>-13609.464</v>
      </c>
      <c r="AD20" s="233">
        <f t="shared" si="10"/>
        <v>-14240.501</v>
      </c>
      <c r="AE20" s="233">
        <f t="shared" si="10"/>
        <v>-15228.438000000002</v>
      </c>
      <c r="AF20" s="233">
        <f t="shared" si="10"/>
        <v>-17211.341</v>
      </c>
      <c r="AG20" s="233">
        <f t="shared" si="10"/>
        <v>-17484.278000000002</v>
      </c>
      <c r="AH20" s="233">
        <f t="shared" si="10"/>
        <v>-18564.315000000002</v>
      </c>
      <c r="AI20" s="233">
        <f t="shared" si="10"/>
        <v>-18231.464</v>
      </c>
      <c r="AJ20" s="233">
        <f t="shared" si="10"/>
        <v>-17567.264000000003</v>
      </c>
      <c r="AK20" s="233">
        <f t="shared" si="10"/>
        <v>-18405.164000000001</v>
      </c>
      <c r="AL20" s="233">
        <f t="shared" si="10"/>
        <v>-18724.419000000002</v>
      </c>
      <c r="AM20" s="233">
        <f t="shared" si="10"/>
        <v>-18563.219000000001</v>
      </c>
      <c r="AN20" s="234">
        <f t="shared" si="10"/>
        <v>-16512.119000000002</v>
      </c>
      <c r="AO20" s="232">
        <f t="shared" ref="AO20:BA20" si="12">AO101</f>
        <v>-8053.0890000000009</v>
      </c>
      <c r="AP20" s="233">
        <f t="shared" si="12"/>
        <v>-17898.78</v>
      </c>
      <c r="AQ20" s="233">
        <f t="shared" si="12"/>
        <v>-18308.428</v>
      </c>
      <c r="AR20" s="233">
        <f t="shared" si="12"/>
        <v>-19020.636000000002</v>
      </c>
      <c r="AS20" s="233">
        <f t="shared" si="12"/>
        <v>-19250.716</v>
      </c>
      <c r="AT20" s="233">
        <f t="shared" si="12"/>
        <v>-17873.913</v>
      </c>
      <c r="AU20" s="233">
        <f t="shared" si="12"/>
        <v>-16060.722000000002</v>
      </c>
      <c r="AV20" s="233">
        <f t="shared" si="12"/>
        <v>-17573.401000000002</v>
      </c>
      <c r="AW20" s="233">
        <f t="shared" si="12"/>
        <v>-17151.407999999999</v>
      </c>
      <c r="AX20" s="233">
        <f t="shared" si="12"/>
        <v>-16495.833999999999</v>
      </c>
      <c r="AY20" s="233">
        <f t="shared" si="12"/>
        <v>-17447.332999999999</v>
      </c>
      <c r="AZ20" s="234">
        <f t="shared" si="12"/>
        <v>-14419.242</v>
      </c>
      <c r="BA20" s="235">
        <f t="shared" si="12"/>
        <v>-14508.701999999997</v>
      </c>
    </row>
    <row r="21" spans="3:53" s="227" customFormat="1" ht="23.25" customHeight="1" thickBot="1">
      <c r="C21" s="118"/>
      <c r="D21" s="254" t="s">
        <v>72</v>
      </c>
      <c r="E21" s="236">
        <f t="shared" ref="E21:AN21" si="13">SUM(E17:E20)</f>
        <v>191776.54281999997</v>
      </c>
      <c r="F21" s="237">
        <f t="shared" si="13"/>
        <v>190115.95935000002</v>
      </c>
      <c r="G21" s="237">
        <f t="shared" si="13"/>
        <v>186793.03166000001</v>
      </c>
      <c r="H21" s="239">
        <f t="shared" si="13"/>
        <v>192313.93482000002</v>
      </c>
      <c r="I21" s="237">
        <f t="shared" si="13"/>
        <v>0</v>
      </c>
      <c r="J21" s="237">
        <f t="shared" si="13"/>
        <v>0</v>
      </c>
      <c r="K21" s="237">
        <f t="shared" si="13"/>
        <v>0</v>
      </c>
      <c r="L21" s="237">
        <f t="shared" si="13"/>
        <v>0</v>
      </c>
      <c r="M21" s="237">
        <f t="shared" si="13"/>
        <v>0</v>
      </c>
      <c r="N21" s="237">
        <f t="shared" si="13"/>
        <v>0</v>
      </c>
      <c r="O21" s="237">
        <f t="shared" si="13"/>
        <v>0</v>
      </c>
      <c r="P21" s="238">
        <f t="shared" si="13"/>
        <v>0</v>
      </c>
      <c r="Q21" s="236">
        <f t="shared" ref="Q21:AB21" si="14">SUM(Q17:Q20)</f>
        <v>191776.54281999997</v>
      </c>
      <c r="R21" s="237">
        <f t="shared" si="14"/>
        <v>190115.95935000002</v>
      </c>
      <c r="S21" s="237">
        <f t="shared" si="14"/>
        <v>186793.03166000001</v>
      </c>
      <c r="T21" s="237">
        <f t="shared" si="14"/>
        <v>193216.038</v>
      </c>
      <c r="U21" s="237">
        <f t="shared" si="14"/>
        <v>193396.557</v>
      </c>
      <c r="V21" s="237">
        <f t="shared" si="14"/>
        <v>191857.837</v>
      </c>
      <c r="W21" s="237">
        <f t="shared" si="14"/>
        <v>189203.234</v>
      </c>
      <c r="X21" s="237">
        <f t="shared" si="14"/>
        <v>190618.34900000002</v>
      </c>
      <c r="Y21" s="237">
        <f t="shared" si="14"/>
        <v>187635.75300000003</v>
      </c>
      <c r="Z21" s="237">
        <f t="shared" si="14"/>
        <v>184119.70400000003</v>
      </c>
      <c r="AA21" s="237">
        <f t="shared" si="14"/>
        <v>183740.818</v>
      </c>
      <c r="AB21" s="238">
        <f t="shared" si="14"/>
        <v>181294.77100000004</v>
      </c>
      <c r="AC21" s="236">
        <f t="shared" si="13"/>
        <v>196039.39999999997</v>
      </c>
      <c r="AD21" s="237">
        <f t="shared" si="13"/>
        <v>192585.36100000003</v>
      </c>
      <c r="AE21" s="237">
        <f t="shared" si="13"/>
        <v>193907.22100000002</v>
      </c>
      <c r="AF21" s="237">
        <f t="shared" si="13"/>
        <v>196635.64199999999</v>
      </c>
      <c r="AG21" s="237">
        <f t="shared" si="13"/>
        <v>198143.929</v>
      </c>
      <c r="AH21" s="237">
        <f t="shared" si="13"/>
        <v>196897.65799999997</v>
      </c>
      <c r="AI21" s="237">
        <f t="shared" si="13"/>
        <v>192948.05899999998</v>
      </c>
      <c r="AJ21" s="237">
        <f t="shared" si="13"/>
        <v>195131.55499999999</v>
      </c>
      <c r="AK21" s="237">
        <f t="shared" si="13"/>
        <v>191910.23900000003</v>
      </c>
      <c r="AL21" s="237">
        <f t="shared" si="13"/>
        <v>188253.02299999999</v>
      </c>
      <c r="AM21" s="237">
        <f t="shared" si="13"/>
        <v>188345.51699999999</v>
      </c>
      <c r="AN21" s="238">
        <f t="shared" si="13"/>
        <v>186181.57199999999</v>
      </c>
      <c r="AO21" s="236">
        <f t="shared" ref="AO21:BA21" si="15">SUM(AO17:AO20)</f>
        <v>147405.19900000002</v>
      </c>
      <c r="AP21" s="237">
        <f t="shared" si="15"/>
        <v>206048.70633739998</v>
      </c>
      <c r="AQ21" s="237">
        <f t="shared" si="15"/>
        <v>203786.93879679998</v>
      </c>
      <c r="AR21" s="237">
        <f t="shared" si="15"/>
        <v>201813.80100000001</v>
      </c>
      <c r="AS21" s="237">
        <f t="shared" si="15"/>
        <v>204527.82978999999</v>
      </c>
      <c r="AT21" s="237">
        <f t="shared" si="15"/>
        <v>198492.05261000001</v>
      </c>
      <c r="AU21" s="237">
        <f t="shared" si="15"/>
        <v>203218.22301000002</v>
      </c>
      <c r="AV21" s="237">
        <f t="shared" si="15"/>
        <v>201162.85821999999</v>
      </c>
      <c r="AW21" s="237">
        <f t="shared" si="15"/>
        <v>196769.48757</v>
      </c>
      <c r="AX21" s="237">
        <f t="shared" si="15"/>
        <v>203462.45799</v>
      </c>
      <c r="AY21" s="237">
        <f t="shared" si="15"/>
        <v>198477.90809000004</v>
      </c>
      <c r="AZ21" s="238">
        <f t="shared" si="15"/>
        <v>185726.14230000001</v>
      </c>
      <c r="BA21" s="239">
        <f t="shared" si="15"/>
        <v>198688.23200000005</v>
      </c>
    </row>
    <row r="22" spans="3:53" s="100" customFormat="1" ht="27" customHeight="1" thickBot="1">
      <c r="C22" s="118"/>
      <c r="D22" s="255"/>
      <c r="E22" s="119"/>
      <c r="F22" s="119"/>
      <c r="G22" s="119"/>
      <c r="H22" s="119"/>
      <c r="I22" s="119"/>
      <c r="J22" s="119"/>
      <c r="K22" s="119"/>
      <c r="L22" s="119"/>
      <c r="M22" s="119"/>
      <c r="N22" s="120"/>
      <c r="O22" s="120"/>
      <c r="P22" s="121"/>
      <c r="Q22" s="119"/>
      <c r="R22" s="119"/>
      <c r="S22" s="119"/>
      <c r="T22" s="119"/>
      <c r="U22" s="119"/>
      <c r="V22" s="119"/>
      <c r="W22" s="119"/>
      <c r="X22" s="119"/>
      <c r="Y22" s="119"/>
      <c r="Z22" s="120"/>
      <c r="AA22" s="120"/>
      <c r="AB22" s="120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/>
      <c r="AM22" s="120"/>
      <c r="AN22" s="120"/>
      <c r="AO22" s="119"/>
      <c r="AP22" s="119"/>
      <c r="AQ22" s="119"/>
      <c r="AR22" s="119"/>
      <c r="AS22" s="119"/>
      <c r="AT22" s="119"/>
      <c r="AU22" s="119"/>
      <c r="AV22" s="119"/>
      <c r="AW22" s="119"/>
      <c r="AX22" s="120"/>
      <c r="AY22" s="120"/>
      <c r="AZ22" s="121" t="s">
        <v>71</v>
      </c>
      <c r="BA22" s="121">
        <f>BA21-AZ21</f>
        <v>12962.08970000004</v>
      </c>
    </row>
    <row r="23" spans="3:53" s="100" customFormat="1" ht="22.5" customHeight="1" thickBot="1">
      <c r="C23" s="118"/>
      <c r="D23" s="256" t="s">
        <v>70</v>
      </c>
      <c r="E23" s="228">
        <f t="shared" ref="E23:AN23" si="16">-E48</f>
        <v>-161605.22482</v>
      </c>
      <c r="F23" s="229">
        <f t="shared" si="16"/>
        <v>-160569.48835000003</v>
      </c>
      <c r="G23" s="229">
        <f t="shared" si="16"/>
        <v>-161019.72466000001</v>
      </c>
      <c r="H23" s="231">
        <f t="shared" si="16"/>
        <v>-161356.48982000002</v>
      </c>
      <c r="I23" s="229">
        <f t="shared" si="16"/>
        <v>0</v>
      </c>
      <c r="J23" s="229">
        <f t="shared" si="16"/>
        <v>0</v>
      </c>
      <c r="K23" s="229">
        <f t="shared" si="16"/>
        <v>0</v>
      </c>
      <c r="L23" s="229">
        <f t="shared" si="16"/>
        <v>0</v>
      </c>
      <c r="M23" s="229">
        <f t="shared" si="16"/>
        <v>0</v>
      </c>
      <c r="N23" s="229">
        <f t="shared" si="16"/>
        <v>0</v>
      </c>
      <c r="O23" s="229">
        <f t="shared" si="16"/>
        <v>0</v>
      </c>
      <c r="P23" s="230">
        <f t="shared" si="16"/>
        <v>0</v>
      </c>
      <c r="Q23" s="228">
        <f t="shared" ref="Q23:AB23" si="17">-Q48</f>
        <v>-161605.22482</v>
      </c>
      <c r="R23" s="229">
        <f t="shared" si="17"/>
        <v>-160791.70435000001</v>
      </c>
      <c r="S23" s="229">
        <f t="shared" si="17"/>
        <v>-161019.72465999998</v>
      </c>
      <c r="T23" s="229">
        <f t="shared" si="17"/>
        <v>-160996.446</v>
      </c>
      <c r="U23" s="229">
        <f t="shared" si="17"/>
        <v>-160600.859</v>
      </c>
      <c r="V23" s="229">
        <f t="shared" si="17"/>
        <v>-161502.19</v>
      </c>
      <c r="W23" s="229">
        <f t="shared" si="17"/>
        <v>-162332.796</v>
      </c>
      <c r="X23" s="229">
        <f t="shared" si="17"/>
        <v>-162073.745</v>
      </c>
      <c r="Y23" s="229">
        <f t="shared" si="17"/>
        <v>-162957.788</v>
      </c>
      <c r="Z23" s="229">
        <f t="shared" si="17"/>
        <v>-164086.61199999999</v>
      </c>
      <c r="AA23" s="229">
        <f t="shared" si="17"/>
        <v>-162973.08400000003</v>
      </c>
      <c r="AB23" s="230">
        <f t="shared" si="17"/>
        <v>-160606.53399999999</v>
      </c>
      <c r="AC23" s="228">
        <f t="shared" si="16"/>
        <v>-165217.54199999999</v>
      </c>
      <c r="AD23" s="229">
        <f t="shared" si="16"/>
        <v>-165442.58500000002</v>
      </c>
      <c r="AE23" s="229">
        <f t="shared" si="16"/>
        <v>-166020.81099999999</v>
      </c>
      <c r="AF23" s="229">
        <f t="shared" si="16"/>
        <v>-166990.258</v>
      </c>
      <c r="AG23" s="229">
        <f t="shared" si="16"/>
        <v>-167190.394</v>
      </c>
      <c r="AH23" s="229">
        <f t="shared" si="16"/>
        <v>-167236.15299999999</v>
      </c>
      <c r="AI23" s="229">
        <f t="shared" si="16"/>
        <v>-167197.72999999998</v>
      </c>
      <c r="AJ23" s="229">
        <f t="shared" si="16"/>
        <v>-165141.84399999998</v>
      </c>
      <c r="AK23" s="229">
        <f t="shared" si="16"/>
        <v>-165774.14199999999</v>
      </c>
      <c r="AL23" s="229">
        <f t="shared" si="16"/>
        <v>-166221.38699999999</v>
      </c>
      <c r="AM23" s="229">
        <f t="shared" si="16"/>
        <v>-164805.51799999998</v>
      </c>
      <c r="AN23" s="230">
        <f t="shared" si="16"/>
        <v>-162178.44399999999</v>
      </c>
      <c r="AO23" s="228">
        <f t="shared" ref="AO23:BA23" si="18">-AO48</f>
        <v>-150975.57</v>
      </c>
      <c r="AP23" s="229">
        <f t="shared" si="18"/>
        <v>-179983.50233739999</v>
      </c>
      <c r="AQ23" s="229">
        <f t="shared" si="18"/>
        <v>-180830.32179680001</v>
      </c>
      <c r="AR23" s="229">
        <f t="shared" si="18"/>
        <v>-181544.22699999998</v>
      </c>
      <c r="AS23" s="229">
        <f t="shared" si="18"/>
        <v>-171828.70478999999</v>
      </c>
      <c r="AT23" s="229">
        <f t="shared" si="18"/>
        <v>-171736.85561</v>
      </c>
      <c r="AU23" s="229">
        <f t="shared" si="18"/>
        <v>-171767.75901000001</v>
      </c>
      <c r="AV23" s="229">
        <f t="shared" si="18"/>
        <v>-171769.57422000001</v>
      </c>
      <c r="AW23" s="229">
        <f t="shared" si="18"/>
        <v>-171880.94057000001</v>
      </c>
      <c r="AX23" s="229">
        <f t="shared" si="18"/>
        <v>-172203.41399000003</v>
      </c>
      <c r="AY23" s="229">
        <f t="shared" si="18"/>
        <v>-169633.16209</v>
      </c>
      <c r="AZ23" s="230">
        <f t="shared" si="18"/>
        <v>-159990.92829999997</v>
      </c>
      <c r="BA23" s="231">
        <f t="shared" si="18"/>
        <v>-165908.296</v>
      </c>
    </row>
    <row r="24" spans="3:53" s="227" customFormat="1" ht="24.75" customHeight="1" thickBot="1">
      <c r="C24" s="117"/>
      <c r="D24" s="254" t="s">
        <v>69</v>
      </c>
      <c r="E24" s="236">
        <f t="shared" ref="E24:AN24" si="19">-E53</f>
        <v>-30171.322</v>
      </c>
      <c r="F24" s="237">
        <f t="shared" si="19"/>
        <v>-29546.475999999999</v>
      </c>
      <c r="G24" s="237">
        <f t="shared" si="19"/>
        <v>-26812.971000000001</v>
      </c>
      <c r="H24" s="239">
        <f t="shared" si="19"/>
        <v>-31997.114000000001</v>
      </c>
      <c r="I24" s="237">
        <f t="shared" si="19"/>
        <v>0</v>
      </c>
      <c r="J24" s="237">
        <f t="shared" si="19"/>
        <v>0</v>
      </c>
      <c r="K24" s="237">
        <f t="shared" si="19"/>
        <v>0</v>
      </c>
      <c r="L24" s="237">
        <f t="shared" si="19"/>
        <v>0</v>
      </c>
      <c r="M24" s="237">
        <f t="shared" si="19"/>
        <v>0</v>
      </c>
      <c r="N24" s="237">
        <f t="shared" si="19"/>
        <v>0</v>
      </c>
      <c r="O24" s="237">
        <f t="shared" si="19"/>
        <v>0</v>
      </c>
      <c r="P24" s="238">
        <f t="shared" si="19"/>
        <v>0</v>
      </c>
      <c r="Q24" s="236">
        <f t="shared" ref="Q24:AB24" si="20">-Q53</f>
        <v>-31210.99</v>
      </c>
      <c r="R24" s="237">
        <f t="shared" si="20"/>
        <v>-30363.928</v>
      </c>
      <c r="S24" s="237">
        <f t="shared" si="20"/>
        <v>-26812.971000000001</v>
      </c>
      <c r="T24" s="237">
        <f t="shared" si="20"/>
        <v>-33259.26</v>
      </c>
      <c r="U24" s="237">
        <f t="shared" si="20"/>
        <v>-33835.366000000002</v>
      </c>
      <c r="V24" s="237">
        <f t="shared" si="20"/>
        <v>-31395.314999999999</v>
      </c>
      <c r="W24" s="237">
        <f t="shared" si="20"/>
        <v>-27910.106</v>
      </c>
      <c r="X24" s="237">
        <f t="shared" si="20"/>
        <v>-29584.272000000001</v>
      </c>
      <c r="Y24" s="237">
        <f t="shared" si="20"/>
        <v>-25717.633000000002</v>
      </c>
      <c r="Z24" s="237">
        <f t="shared" si="20"/>
        <v>-21072.76</v>
      </c>
      <c r="AA24" s="237">
        <f t="shared" si="20"/>
        <v>-21807.401999999998</v>
      </c>
      <c r="AB24" s="238">
        <f t="shared" si="20"/>
        <v>-21727.904999999999</v>
      </c>
      <c r="AC24" s="236">
        <f t="shared" si="19"/>
        <v>-30821.858</v>
      </c>
      <c r="AD24" s="237">
        <f t="shared" si="19"/>
        <v>-27142.776000000002</v>
      </c>
      <c r="AE24" s="237">
        <f t="shared" si="19"/>
        <v>-27886.41</v>
      </c>
      <c r="AF24" s="237">
        <f t="shared" si="19"/>
        <v>-29645.383999999998</v>
      </c>
      <c r="AG24" s="237">
        <f t="shared" si="19"/>
        <v>-30953.535</v>
      </c>
      <c r="AH24" s="237">
        <f t="shared" si="19"/>
        <v>-29661.505000000001</v>
      </c>
      <c r="AI24" s="237">
        <f t="shared" si="19"/>
        <v>-25750.329000000002</v>
      </c>
      <c r="AJ24" s="237">
        <f t="shared" si="19"/>
        <v>-29989.710999999999</v>
      </c>
      <c r="AK24" s="237">
        <f t="shared" si="19"/>
        <v>-26136.097000000002</v>
      </c>
      <c r="AL24" s="237">
        <f t="shared" si="19"/>
        <v>-22031.635999999999</v>
      </c>
      <c r="AM24" s="237">
        <f t="shared" si="19"/>
        <v>-23539.999</v>
      </c>
      <c r="AN24" s="238">
        <f t="shared" si="19"/>
        <v>-24003.128000000001</v>
      </c>
      <c r="AO24" s="236">
        <f t="shared" ref="AO24:BA24" si="21">-AO53</f>
        <v>-18371.89</v>
      </c>
      <c r="AP24" s="237">
        <f t="shared" si="21"/>
        <v>-26065.195</v>
      </c>
      <c r="AQ24" s="237">
        <f t="shared" si="21"/>
        <v>-22956.620999999999</v>
      </c>
      <c r="AR24" s="237">
        <f t="shared" si="21"/>
        <v>-20269.580999999998</v>
      </c>
      <c r="AS24" s="237">
        <f t="shared" si="21"/>
        <v>-32699.123</v>
      </c>
      <c r="AT24" s="237">
        <f t="shared" si="21"/>
        <v>-26755.188999999998</v>
      </c>
      <c r="AU24" s="237">
        <f t="shared" si="21"/>
        <v>-31450.458999999999</v>
      </c>
      <c r="AV24" s="237">
        <f t="shared" si="21"/>
        <v>-29393.280999999999</v>
      </c>
      <c r="AW24" s="237">
        <f t="shared" si="21"/>
        <v>-24888.539000000001</v>
      </c>
      <c r="AX24" s="237">
        <f t="shared" si="21"/>
        <v>-31259.038</v>
      </c>
      <c r="AY24" s="237">
        <f t="shared" si="21"/>
        <v>-28844.758999999998</v>
      </c>
      <c r="AZ24" s="238">
        <f t="shared" si="21"/>
        <v>-26774.879000000001</v>
      </c>
      <c r="BA24" s="237">
        <f t="shared" si="21"/>
        <v>-32779.936000000002</v>
      </c>
    </row>
    <row r="25" spans="3:53" s="100" customFormat="1" ht="34.5">
      <c r="D25" s="257" t="s">
        <v>68</v>
      </c>
      <c r="E25" s="232">
        <f t="shared" ref="E25:AN25" si="22">-E57</f>
        <v>-30397.146000000001</v>
      </c>
      <c r="F25" s="233">
        <f t="shared" si="22"/>
        <v>-31597.937999999998</v>
      </c>
      <c r="G25" s="233">
        <f t="shared" si="22"/>
        <v>-30788.093000000001</v>
      </c>
      <c r="H25" s="235">
        <f t="shared" si="22"/>
        <v>-30159.069000000003</v>
      </c>
      <c r="I25" s="233">
        <f t="shared" si="22"/>
        <v>0</v>
      </c>
      <c r="J25" s="233">
        <f t="shared" si="22"/>
        <v>0</v>
      </c>
      <c r="K25" s="233">
        <f t="shared" si="22"/>
        <v>0</v>
      </c>
      <c r="L25" s="233">
        <f t="shared" si="22"/>
        <v>0</v>
      </c>
      <c r="M25" s="233">
        <f t="shared" si="22"/>
        <v>0</v>
      </c>
      <c r="N25" s="233">
        <f t="shared" si="22"/>
        <v>0</v>
      </c>
      <c r="O25" s="233">
        <f t="shared" si="22"/>
        <v>0</v>
      </c>
      <c r="P25" s="234">
        <f t="shared" si="22"/>
        <v>0</v>
      </c>
      <c r="Q25" s="232">
        <f t="shared" ref="Q25:AB25" si="23">-Q57</f>
        <v>-31436.814000000002</v>
      </c>
      <c r="R25" s="233">
        <f t="shared" si="23"/>
        <v>-32415.39</v>
      </c>
      <c r="S25" s="233">
        <f t="shared" si="23"/>
        <v>-30788.093000000001</v>
      </c>
      <c r="T25" s="233">
        <f t="shared" si="23"/>
        <v>-29254.942000000003</v>
      </c>
      <c r="U25" s="233">
        <f t="shared" si="23"/>
        <v>-29338.942000000003</v>
      </c>
      <c r="V25" s="233">
        <f t="shared" si="23"/>
        <v>-29422.941999999999</v>
      </c>
      <c r="W25" s="233">
        <f t="shared" si="23"/>
        <v>-29506.941999999999</v>
      </c>
      <c r="X25" s="233">
        <f t="shared" si="23"/>
        <v>-29590.941999999999</v>
      </c>
      <c r="Y25" s="233">
        <f t="shared" si="23"/>
        <v>-29674.942000000003</v>
      </c>
      <c r="Z25" s="233">
        <f t="shared" si="23"/>
        <v>-29758.941999999999</v>
      </c>
      <c r="AA25" s="233">
        <f t="shared" si="23"/>
        <v>-29842.941999999999</v>
      </c>
      <c r="AB25" s="234">
        <f t="shared" si="23"/>
        <v>-29926.941999999999</v>
      </c>
      <c r="AC25" s="232">
        <f t="shared" si="22"/>
        <v>-26354.069</v>
      </c>
      <c r="AD25" s="233">
        <f t="shared" si="22"/>
        <v>-26438.069000000003</v>
      </c>
      <c r="AE25" s="233">
        <f t="shared" si="22"/>
        <v>-26522.069</v>
      </c>
      <c r="AF25" s="233">
        <f t="shared" si="22"/>
        <v>-26606.069</v>
      </c>
      <c r="AG25" s="233">
        <f t="shared" si="22"/>
        <v>-26690.069</v>
      </c>
      <c r="AH25" s="233">
        <f t="shared" si="22"/>
        <v>-26774.069</v>
      </c>
      <c r="AI25" s="233">
        <f t="shared" si="22"/>
        <v>-26858.069000000003</v>
      </c>
      <c r="AJ25" s="233">
        <f t="shared" si="22"/>
        <v>-26942.069</v>
      </c>
      <c r="AK25" s="233">
        <f t="shared" si="22"/>
        <v>-27026.069000000003</v>
      </c>
      <c r="AL25" s="233">
        <f t="shared" si="22"/>
        <v>-27110.069</v>
      </c>
      <c r="AM25" s="233">
        <f t="shared" si="22"/>
        <v>-27194.069</v>
      </c>
      <c r="AN25" s="234">
        <f t="shared" si="22"/>
        <v>-27278.069</v>
      </c>
      <c r="AO25" s="232">
        <f t="shared" ref="AO25:BA25" si="24">-AO57</f>
        <v>1.0000000002037268E-3</v>
      </c>
      <c r="AP25" s="233">
        <f t="shared" si="24"/>
        <v>-15946.578</v>
      </c>
      <c r="AQ25" s="233">
        <f t="shared" si="24"/>
        <v>-17270.288</v>
      </c>
      <c r="AR25" s="233">
        <f t="shared" si="24"/>
        <v>-16393.276999999998</v>
      </c>
      <c r="AS25" s="233">
        <f t="shared" si="24"/>
        <v>-25539.798999999999</v>
      </c>
      <c r="AT25" s="233">
        <f t="shared" si="24"/>
        <v>-25599.636999999999</v>
      </c>
      <c r="AU25" s="233">
        <f t="shared" si="24"/>
        <v>-25008.966</v>
      </c>
      <c r="AV25" s="233">
        <f t="shared" si="24"/>
        <v>-25059.998</v>
      </c>
      <c r="AW25" s="233">
        <f t="shared" si="24"/>
        <v>-16035.161</v>
      </c>
      <c r="AX25" s="233">
        <f t="shared" si="24"/>
        <v>-17103.423999999999</v>
      </c>
      <c r="AY25" s="233">
        <f t="shared" si="24"/>
        <v>-17166.594999999998</v>
      </c>
      <c r="AZ25" s="234">
        <f t="shared" si="24"/>
        <v>-30769.88</v>
      </c>
      <c r="BA25" s="235">
        <f t="shared" si="24"/>
        <v>-27291.069000000003</v>
      </c>
    </row>
    <row r="26" spans="3:53" s="100" customFormat="1" ht="21.75" customHeight="1">
      <c r="D26" s="258" t="s">
        <v>67</v>
      </c>
      <c r="E26" s="232">
        <f t="shared" ref="E26:AN26" si="25">-E63</f>
        <v>3411.9119999999998</v>
      </c>
      <c r="F26" s="233">
        <f t="shared" si="25"/>
        <v>2140.9690000000001</v>
      </c>
      <c r="G26" s="233">
        <f t="shared" si="25"/>
        <v>2806.0369999999998</v>
      </c>
      <c r="H26" s="235">
        <f t="shared" si="25"/>
        <v>-1918.732</v>
      </c>
      <c r="I26" s="233">
        <f t="shared" si="25"/>
        <v>0</v>
      </c>
      <c r="J26" s="233">
        <f t="shared" si="25"/>
        <v>0</v>
      </c>
      <c r="K26" s="233">
        <f t="shared" si="25"/>
        <v>0</v>
      </c>
      <c r="L26" s="233">
        <f t="shared" si="25"/>
        <v>0</v>
      </c>
      <c r="M26" s="233">
        <f t="shared" si="25"/>
        <v>0</v>
      </c>
      <c r="N26" s="233">
        <f t="shared" si="25"/>
        <v>0</v>
      </c>
      <c r="O26" s="233">
        <f t="shared" si="25"/>
        <v>0</v>
      </c>
      <c r="P26" s="234">
        <f t="shared" si="25"/>
        <v>0</v>
      </c>
      <c r="Q26" s="232">
        <f t="shared" ref="Q26:AB26" si="26">-Q63</f>
        <v>3411.9119999999998</v>
      </c>
      <c r="R26" s="233">
        <f t="shared" si="26"/>
        <v>2140.9690000000001</v>
      </c>
      <c r="S26" s="233">
        <f t="shared" si="26"/>
        <v>2806.0369999999998</v>
      </c>
      <c r="T26" s="233">
        <f t="shared" si="26"/>
        <v>-5700</v>
      </c>
      <c r="U26" s="233">
        <f t="shared" si="26"/>
        <v>-5700</v>
      </c>
      <c r="V26" s="233">
        <f t="shared" si="26"/>
        <v>-5700</v>
      </c>
      <c r="W26" s="233">
        <f t="shared" si="26"/>
        <v>-5700</v>
      </c>
      <c r="X26" s="233">
        <f t="shared" si="26"/>
        <v>-5700</v>
      </c>
      <c r="Y26" s="233">
        <f t="shared" si="26"/>
        <v>-5700</v>
      </c>
      <c r="Z26" s="233">
        <f t="shared" si="26"/>
        <v>-5700</v>
      </c>
      <c r="AA26" s="233">
        <f t="shared" si="26"/>
        <v>-5700</v>
      </c>
      <c r="AB26" s="234">
        <f t="shared" si="26"/>
        <v>-5700</v>
      </c>
      <c r="AC26" s="232">
        <f t="shared" si="25"/>
        <v>-5700</v>
      </c>
      <c r="AD26" s="233">
        <f t="shared" si="25"/>
        <v>-5700</v>
      </c>
      <c r="AE26" s="233">
        <f t="shared" si="25"/>
        <v>-5700</v>
      </c>
      <c r="AF26" s="233">
        <f t="shared" si="25"/>
        <v>-5700</v>
      </c>
      <c r="AG26" s="233">
        <f t="shared" si="25"/>
        <v>-5700</v>
      </c>
      <c r="AH26" s="233">
        <f t="shared" si="25"/>
        <v>-5700</v>
      </c>
      <c r="AI26" s="233">
        <f t="shared" si="25"/>
        <v>-5700</v>
      </c>
      <c r="AJ26" s="233">
        <f t="shared" si="25"/>
        <v>-5700</v>
      </c>
      <c r="AK26" s="233">
        <f t="shared" si="25"/>
        <v>-5700</v>
      </c>
      <c r="AL26" s="233">
        <f t="shared" si="25"/>
        <v>-5700</v>
      </c>
      <c r="AM26" s="233">
        <f t="shared" si="25"/>
        <v>-5700</v>
      </c>
      <c r="AN26" s="234">
        <f t="shared" si="25"/>
        <v>-5700</v>
      </c>
      <c r="AO26" s="232">
        <f t="shared" ref="AO26:BA26" si="27">-AO63</f>
        <v>-5109.1019999999999</v>
      </c>
      <c r="AP26" s="233">
        <f t="shared" si="27"/>
        <v>-1272.7809999999999</v>
      </c>
      <c r="AQ26" s="233">
        <f t="shared" si="27"/>
        <v>-6935.5280000000002</v>
      </c>
      <c r="AR26" s="233">
        <f t="shared" si="27"/>
        <v>297.10599999999999</v>
      </c>
      <c r="AS26" s="233">
        <f t="shared" si="27"/>
        <v>1940.394</v>
      </c>
      <c r="AT26" s="233">
        <f t="shared" si="27"/>
        <v>-7210.0420000000004</v>
      </c>
      <c r="AU26" s="233">
        <f t="shared" si="27"/>
        <v>-816.06500000000005</v>
      </c>
      <c r="AV26" s="233">
        <f t="shared" si="27"/>
        <v>6176.098</v>
      </c>
      <c r="AW26" s="233">
        <f t="shared" si="27"/>
        <v>-134.25800000000001</v>
      </c>
      <c r="AX26" s="233">
        <f t="shared" si="27"/>
        <v>1471.066</v>
      </c>
      <c r="AY26" s="233">
        <f t="shared" si="27"/>
        <v>4023.9070000000002</v>
      </c>
      <c r="AZ26" s="234">
        <f t="shared" si="27"/>
        <v>1698.6220000000001</v>
      </c>
      <c r="BA26" s="235">
        <f t="shared" si="27"/>
        <v>-5700.0010000000002</v>
      </c>
    </row>
    <row r="27" spans="3:53" s="100" customFormat="1" ht="21" customHeight="1">
      <c r="D27" s="259" t="s">
        <v>66</v>
      </c>
      <c r="E27" s="232">
        <f t="shared" ref="E27:AN27" si="28">-E74</f>
        <v>0</v>
      </c>
      <c r="F27" s="233">
        <f t="shared" si="28"/>
        <v>0</v>
      </c>
      <c r="G27" s="233">
        <f t="shared" si="28"/>
        <v>0</v>
      </c>
      <c r="H27" s="235">
        <f t="shared" si="28"/>
        <v>0</v>
      </c>
      <c r="I27" s="233">
        <f t="shared" si="28"/>
        <v>0</v>
      </c>
      <c r="J27" s="233">
        <f t="shared" si="28"/>
        <v>0</v>
      </c>
      <c r="K27" s="233">
        <f t="shared" si="28"/>
        <v>0</v>
      </c>
      <c r="L27" s="233">
        <f t="shared" si="28"/>
        <v>0</v>
      </c>
      <c r="M27" s="233">
        <f t="shared" si="28"/>
        <v>0</v>
      </c>
      <c r="N27" s="233">
        <f t="shared" si="28"/>
        <v>0</v>
      </c>
      <c r="O27" s="233">
        <f t="shared" si="28"/>
        <v>0</v>
      </c>
      <c r="P27" s="234">
        <f t="shared" si="28"/>
        <v>0</v>
      </c>
      <c r="Q27" s="232">
        <f t="shared" ref="Q27:AB27" si="29">-Q74</f>
        <v>0</v>
      </c>
      <c r="R27" s="233">
        <f t="shared" si="29"/>
        <v>0</v>
      </c>
      <c r="S27" s="233">
        <f t="shared" si="29"/>
        <v>0</v>
      </c>
      <c r="T27" s="233">
        <f t="shared" si="29"/>
        <v>0</v>
      </c>
      <c r="U27" s="233">
        <f t="shared" si="29"/>
        <v>0</v>
      </c>
      <c r="V27" s="233">
        <f t="shared" si="29"/>
        <v>0</v>
      </c>
      <c r="W27" s="233">
        <f t="shared" si="29"/>
        <v>0</v>
      </c>
      <c r="X27" s="233">
        <f t="shared" si="29"/>
        <v>0</v>
      </c>
      <c r="Y27" s="233">
        <f t="shared" si="29"/>
        <v>0</v>
      </c>
      <c r="Z27" s="233">
        <f t="shared" si="29"/>
        <v>0</v>
      </c>
      <c r="AA27" s="233">
        <f t="shared" si="29"/>
        <v>0</v>
      </c>
      <c r="AB27" s="234">
        <f t="shared" si="29"/>
        <v>0</v>
      </c>
      <c r="AC27" s="232">
        <f t="shared" si="28"/>
        <v>0</v>
      </c>
      <c r="AD27" s="233">
        <f t="shared" si="28"/>
        <v>0</v>
      </c>
      <c r="AE27" s="233">
        <f t="shared" si="28"/>
        <v>0</v>
      </c>
      <c r="AF27" s="233">
        <f t="shared" si="28"/>
        <v>0</v>
      </c>
      <c r="AG27" s="233">
        <f t="shared" si="28"/>
        <v>0</v>
      </c>
      <c r="AH27" s="233">
        <f t="shared" si="28"/>
        <v>0</v>
      </c>
      <c r="AI27" s="233">
        <f t="shared" si="28"/>
        <v>0</v>
      </c>
      <c r="AJ27" s="233">
        <f t="shared" si="28"/>
        <v>0</v>
      </c>
      <c r="AK27" s="233">
        <f t="shared" si="28"/>
        <v>0</v>
      </c>
      <c r="AL27" s="233">
        <f t="shared" si="28"/>
        <v>0</v>
      </c>
      <c r="AM27" s="233">
        <f t="shared" si="28"/>
        <v>0</v>
      </c>
      <c r="AN27" s="234">
        <f t="shared" si="28"/>
        <v>0</v>
      </c>
      <c r="AO27" s="232">
        <f t="shared" ref="AO27:BA27" si="30">-AO74</f>
        <v>0</v>
      </c>
      <c r="AP27" s="233">
        <f t="shared" si="30"/>
        <v>0</v>
      </c>
      <c r="AQ27" s="233">
        <f t="shared" si="30"/>
        <v>0</v>
      </c>
      <c r="AR27" s="233">
        <f t="shared" si="30"/>
        <v>0</v>
      </c>
      <c r="AS27" s="233">
        <f t="shared" si="30"/>
        <v>0</v>
      </c>
      <c r="AT27" s="233">
        <f t="shared" si="30"/>
        <v>0</v>
      </c>
      <c r="AU27" s="233">
        <f t="shared" si="30"/>
        <v>0</v>
      </c>
      <c r="AV27" s="233">
        <f t="shared" si="30"/>
        <v>0</v>
      </c>
      <c r="AW27" s="233">
        <f t="shared" si="30"/>
        <v>0</v>
      </c>
      <c r="AX27" s="233">
        <f t="shared" si="30"/>
        <v>0</v>
      </c>
      <c r="AY27" s="233">
        <f t="shared" si="30"/>
        <v>0</v>
      </c>
      <c r="AZ27" s="234">
        <f t="shared" si="30"/>
        <v>0</v>
      </c>
      <c r="BA27" s="235">
        <f t="shared" si="30"/>
        <v>0</v>
      </c>
    </row>
    <row r="28" spans="3:53" s="100" customFormat="1" ht="21" customHeight="1">
      <c r="D28" s="259" t="s">
        <v>65</v>
      </c>
      <c r="E28" s="232">
        <f t="shared" ref="E28:AN28" si="31">-E79</f>
        <v>-49.173999999999999</v>
      </c>
      <c r="F28" s="233">
        <f t="shared" si="31"/>
        <v>-49.213999999999999</v>
      </c>
      <c r="G28" s="233">
        <f t="shared" si="31"/>
        <v>-49.245999999999995</v>
      </c>
      <c r="H28" s="235">
        <f t="shared" si="31"/>
        <v>-49.326000000000001</v>
      </c>
      <c r="I28" s="233">
        <f t="shared" si="31"/>
        <v>0</v>
      </c>
      <c r="J28" s="233">
        <f t="shared" si="31"/>
        <v>0</v>
      </c>
      <c r="K28" s="233">
        <f t="shared" si="31"/>
        <v>0</v>
      </c>
      <c r="L28" s="233">
        <f t="shared" si="31"/>
        <v>0</v>
      </c>
      <c r="M28" s="233">
        <f t="shared" si="31"/>
        <v>0</v>
      </c>
      <c r="N28" s="233">
        <f t="shared" si="31"/>
        <v>0</v>
      </c>
      <c r="O28" s="233">
        <f t="shared" si="31"/>
        <v>0</v>
      </c>
      <c r="P28" s="234">
        <f t="shared" si="31"/>
        <v>0</v>
      </c>
      <c r="Q28" s="232">
        <f t="shared" ref="Q28:AB28" si="32">-Q79</f>
        <v>-49.173999999999999</v>
      </c>
      <c r="R28" s="233">
        <f t="shared" si="32"/>
        <v>-49.213999999999999</v>
      </c>
      <c r="S28" s="233">
        <f t="shared" si="32"/>
        <v>-49.245999999999995</v>
      </c>
      <c r="T28" s="233">
        <f t="shared" si="32"/>
        <v>-41.552999999999997</v>
      </c>
      <c r="U28" s="233">
        <f t="shared" si="32"/>
        <v>-41.552999999999997</v>
      </c>
      <c r="V28" s="233">
        <f t="shared" si="32"/>
        <v>-41.552999999999997</v>
      </c>
      <c r="W28" s="233">
        <f t="shared" si="32"/>
        <v>-41.552999999999997</v>
      </c>
      <c r="X28" s="233">
        <f t="shared" si="32"/>
        <v>-41.552999999999997</v>
      </c>
      <c r="Y28" s="233">
        <f t="shared" si="32"/>
        <v>-41.552999999999997</v>
      </c>
      <c r="Z28" s="233">
        <f t="shared" si="32"/>
        <v>-41.552999999999997</v>
      </c>
      <c r="AA28" s="233">
        <f t="shared" si="32"/>
        <v>-41.552999999999997</v>
      </c>
      <c r="AB28" s="234">
        <f t="shared" si="32"/>
        <v>-41.552999999999997</v>
      </c>
      <c r="AC28" s="232">
        <f t="shared" si="31"/>
        <v>0</v>
      </c>
      <c r="AD28" s="233">
        <f t="shared" si="31"/>
        <v>0</v>
      </c>
      <c r="AE28" s="233">
        <f t="shared" si="31"/>
        <v>0</v>
      </c>
      <c r="AF28" s="233">
        <f t="shared" si="31"/>
        <v>0</v>
      </c>
      <c r="AG28" s="233">
        <f t="shared" si="31"/>
        <v>0</v>
      </c>
      <c r="AH28" s="233">
        <f t="shared" si="31"/>
        <v>0</v>
      </c>
      <c r="AI28" s="233">
        <f t="shared" si="31"/>
        <v>0</v>
      </c>
      <c r="AJ28" s="233">
        <f t="shared" si="31"/>
        <v>0</v>
      </c>
      <c r="AK28" s="233">
        <f t="shared" si="31"/>
        <v>0</v>
      </c>
      <c r="AL28" s="233">
        <f t="shared" si="31"/>
        <v>0</v>
      </c>
      <c r="AM28" s="233">
        <f t="shared" si="31"/>
        <v>0</v>
      </c>
      <c r="AN28" s="234">
        <f t="shared" si="31"/>
        <v>0</v>
      </c>
      <c r="AO28" s="232">
        <f t="shared" ref="AO28:BA28" si="33">-AO79</f>
        <v>-14140.565000000001</v>
      </c>
      <c r="AP28" s="233">
        <f t="shared" si="33"/>
        <v>-14162.307000000001</v>
      </c>
      <c r="AQ28" s="233">
        <f t="shared" si="33"/>
        <v>-14256.154</v>
      </c>
      <c r="AR28" s="233">
        <f t="shared" si="33"/>
        <v>-10162.375</v>
      </c>
      <c r="AS28" s="233">
        <f t="shared" si="33"/>
        <v>-10037.322999999999</v>
      </c>
      <c r="AT28" s="233">
        <f t="shared" si="33"/>
        <v>-10071.553</v>
      </c>
      <c r="AU28" s="233">
        <f t="shared" si="33"/>
        <v>-10107.791000000001</v>
      </c>
      <c r="AV28" s="233">
        <f t="shared" si="33"/>
        <v>-10144.027</v>
      </c>
      <c r="AW28" s="233">
        <f t="shared" si="33"/>
        <v>-10155.861000000001</v>
      </c>
      <c r="AX28" s="233">
        <f t="shared" si="33"/>
        <v>-10214.296</v>
      </c>
      <c r="AY28" s="233">
        <f t="shared" si="33"/>
        <v>-10047.538</v>
      </c>
      <c r="AZ28" s="234">
        <f t="shared" si="33"/>
        <v>-49.132000000000005</v>
      </c>
      <c r="BA28" s="235">
        <f t="shared" si="33"/>
        <v>0</v>
      </c>
    </row>
    <row r="29" spans="3:53" s="100" customFormat="1" ht="20.25" customHeight="1">
      <c r="D29" s="259" t="s">
        <v>64</v>
      </c>
      <c r="E29" s="232">
        <f t="shared" ref="E29:AN29" si="34">-E84</f>
        <v>-2826.5010000000002</v>
      </c>
      <c r="F29" s="233">
        <f t="shared" si="34"/>
        <v>-2797.2779999999998</v>
      </c>
      <c r="G29" s="233">
        <f t="shared" si="34"/>
        <v>-2766.4920000000002</v>
      </c>
      <c r="H29" s="235">
        <f t="shared" si="34"/>
        <v>-2692.4189999999999</v>
      </c>
      <c r="I29" s="233">
        <f t="shared" si="34"/>
        <v>0</v>
      </c>
      <c r="J29" s="233">
        <f t="shared" si="34"/>
        <v>0</v>
      </c>
      <c r="K29" s="233">
        <f t="shared" si="34"/>
        <v>0</v>
      </c>
      <c r="L29" s="233">
        <f t="shared" si="34"/>
        <v>0</v>
      </c>
      <c r="M29" s="233">
        <f t="shared" si="34"/>
        <v>0</v>
      </c>
      <c r="N29" s="233">
        <f t="shared" si="34"/>
        <v>0</v>
      </c>
      <c r="O29" s="233">
        <f t="shared" si="34"/>
        <v>0</v>
      </c>
      <c r="P29" s="234">
        <f t="shared" si="34"/>
        <v>0</v>
      </c>
      <c r="Q29" s="232">
        <f t="shared" ref="Q29:AB29" si="35">-Q84</f>
        <v>-2826.5010000000002</v>
      </c>
      <c r="R29" s="233">
        <f t="shared" si="35"/>
        <v>-2797.2779999999998</v>
      </c>
      <c r="S29" s="233">
        <f t="shared" si="35"/>
        <v>-2766.4920000000002</v>
      </c>
      <c r="T29" s="233">
        <f t="shared" si="35"/>
        <v>-2689.6669999999999</v>
      </c>
      <c r="U29" s="233">
        <f t="shared" si="35"/>
        <v>-2659.7759999999998</v>
      </c>
      <c r="V29" s="233">
        <f t="shared" si="35"/>
        <v>-2629.6550000000002</v>
      </c>
      <c r="W29" s="233">
        <f t="shared" si="35"/>
        <v>-2815.616</v>
      </c>
      <c r="X29" s="233">
        <f t="shared" si="35"/>
        <v>-2776.1309999999999</v>
      </c>
      <c r="Y29" s="233">
        <f t="shared" si="35"/>
        <v>-2736.4720000000002</v>
      </c>
      <c r="Z29" s="233">
        <f t="shared" si="35"/>
        <v>-2651.8919999999998</v>
      </c>
      <c r="AA29" s="233">
        <f t="shared" si="35"/>
        <v>-2611.877</v>
      </c>
      <c r="AB29" s="234">
        <f t="shared" si="35"/>
        <v>-2571.6849999999999</v>
      </c>
      <c r="AC29" s="232">
        <f t="shared" si="34"/>
        <v>-2200.2330000000002</v>
      </c>
      <c r="AD29" s="233">
        <f t="shared" si="34"/>
        <v>-2184.5120000000002</v>
      </c>
      <c r="AE29" s="233">
        <f t="shared" si="34"/>
        <v>-2168.7570000000001</v>
      </c>
      <c r="AF29" s="233">
        <f t="shared" si="34"/>
        <v>-2070.1799999999998</v>
      </c>
      <c r="AG29" s="233">
        <f t="shared" si="34"/>
        <v>-2054.36</v>
      </c>
      <c r="AH29" s="233">
        <f t="shared" si="34"/>
        <v>-2038.5070000000001</v>
      </c>
      <c r="AI29" s="233">
        <f t="shared" si="34"/>
        <v>-1939.184</v>
      </c>
      <c r="AJ29" s="233">
        <f t="shared" si="34"/>
        <v>-1923.2650000000001</v>
      </c>
      <c r="AK29" s="233">
        <f t="shared" si="34"/>
        <v>-1907.3140000000001</v>
      </c>
      <c r="AL29" s="233">
        <f t="shared" si="34"/>
        <v>-1807.2380000000001</v>
      </c>
      <c r="AM29" s="233">
        <f t="shared" si="34"/>
        <v>-1791.22</v>
      </c>
      <c r="AN29" s="234">
        <f t="shared" si="34"/>
        <v>-1775.1690000000001</v>
      </c>
      <c r="AO29" s="232">
        <f t="shared" ref="AO29:BA29" si="36">-AO84</f>
        <v>-2731.7750000000001</v>
      </c>
      <c r="AP29" s="233">
        <f t="shared" si="36"/>
        <v>-2715.8389999999999</v>
      </c>
      <c r="AQ29" s="233">
        <f t="shared" si="36"/>
        <v>-2653.221</v>
      </c>
      <c r="AR29" s="233">
        <f t="shared" si="36"/>
        <v>-2595.4180000000001</v>
      </c>
      <c r="AS29" s="233">
        <f t="shared" si="36"/>
        <v>-2579.3560000000002</v>
      </c>
      <c r="AT29" s="233">
        <f t="shared" si="36"/>
        <v>-2563.2570000000001</v>
      </c>
      <c r="AU29" s="233">
        <f t="shared" si="36"/>
        <v>-2466.2359999999999</v>
      </c>
      <c r="AV29" s="233">
        <f t="shared" si="36"/>
        <v>-2450.0659999999998</v>
      </c>
      <c r="AW29" s="233">
        <f t="shared" si="36"/>
        <v>-2433.86</v>
      </c>
      <c r="AX29" s="233">
        <f t="shared" si="36"/>
        <v>-2336.1010000000001</v>
      </c>
      <c r="AY29" s="233">
        <f t="shared" si="36"/>
        <v>-2928.8539999999998</v>
      </c>
      <c r="AZ29" s="234">
        <f t="shared" si="36"/>
        <v>-2899.404</v>
      </c>
      <c r="BA29" s="235">
        <f t="shared" si="36"/>
        <v>-2303.5050000000001</v>
      </c>
    </row>
    <row r="30" spans="3:53" s="100" customFormat="1" ht="18.75" customHeight="1">
      <c r="D30" s="259" t="s">
        <v>63</v>
      </c>
      <c r="E30" s="232">
        <f t="shared" ref="E30:AN30" si="37">E24-SUM(E25:E29,E31)</f>
        <v>-66.840000000000146</v>
      </c>
      <c r="F30" s="233">
        <f t="shared" si="37"/>
        <v>-70.157000000002881</v>
      </c>
      <c r="G30" s="233">
        <f t="shared" si="37"/>
        <v>152.30199999999968</v>
      </c>
      <c r="H30" s="235">
        <f t="shared" si="37"/>
        <v>158.63600000000224</v>
      </c>
      <c r="I30" s="233">
        <f t="shared" si="37"/>
        <v>0</v>
      </c>
      <c r="J30" s="233">
        <f t="shared" si="37"/>
        <v>0</v>
      </c>
      <c r="K30" s="233">
        <f t="shared" si="37"/>
        <v>0</v>
      </c>
      <c r="L30" s="233">
        <f t="shared" si="37"/>
        <v>0</v>
      </c>
      <c r="M30" s="233">
        <f t="shared" si="37"/>
        <v>0</v>
      </c>
      <c r="N30" s="233">
        <f t="shared" si="37"/>
        <v>0</v>
      </c>
      <c r="O30" s="233">
        <f t="shared" si="37"/>
        <v>0</v>
      </c>
      <c r="P30" s="234">
        <f t="shared" si="37"/>
        <v>0</v>
      </c>
      <c r="Q30" s="232">
        <f t="shared" ref="Q30:AB30" si="38">Q24-SUM(Q25:Q29,Q31)</f>
        <v>-66.840000000000146</v>
      </c>
      <c r="R30" s="233">
        <f t="shared" si="38"/>
        <v>-70.156999999999243</v>
      </c>
      <c r="S30" s="233">
        <f t="shared" si="38"/>
        <v>152.30199999999968</v>
      </c>
      <c r="T30" s="233">
        <f t="shared" si="38"/>
        <v>161.85399999999936</v>
      </c>
      <c r="U30" s="233">
        <f t="shared" si="38"/>
        <v>161.85399999999936</v>
      </c>
      <c r="V30" s="233">
        <f t="shared" si="38"/>
        <v>161.85399999999572</v>
      </c>
      <c r="W30" s="233">
        <f t="shared" si="38"/>
        <v>161.85399999999936</v>
      </c>
      <c r="X30" s="233">
        <f t="shared" si="38"/>
        <v>161.85399999999572</v>
      </c>
      <c r="Y30" s="233">
        <f t="shared" si="38"/>
        <v>161.854000000003</v>
      </c>
      <c r="Z30" s="233">
        <f t="shared" si="38"/>
        <v>161.85399999999572</v>
      </c>
      <c r="AA30" s="233">
        <f t="shared" si="38"/>
        <v>161.85399999999572</v>
      </c>
      <c r="AB30" s="234">
        <f t="shared" si="38"/>
        <v>174.55799999999363</v>
      </c>
      <c r="AC30" s="232">
        <f t="shared" si="37"/>
        <v>-50.817000000002736</v>
      </c>
      <c r="AD30" s="233">
        <f t="shared" si="37"/>
        <v>-50.81699999999546</v>
      </c>
      <c r="AE30" s="233">
        <f t="shared" si="37"/>
        <v>-50.816999999999098</v>
      </c>
      <c r="AF30" s="233">
        <f t="shared" si="37"/>
        <v>-50.817000000002736</v>
      </c>
      <c r="AG30" s="233">
        <f t="shared" si="37"/>
        <v>-50.817000000002736</v>
      </c>
      <c r="AH30" s="233">
        <f t="shared" si="37"/>
        <v>-50.816999999999098</v>
      </c>
      <c r="AI30" s="233">
        <f t="shared" si="37"/>
        <v>-50.816999999999098</v>
      </c>
      <c r="AJ30" s="233">
        <f t="shared" si="37"/>
        <v>-50.81699999999546</v>
      </c>
      <c r="AK30" s="233">
        <f t="shared" si="37"/>
        <v>-50.816999999999098</v>
      </c>
      <c r="AL30" s="233">
        <f t="shared" si="37"/>
        <v>-50.81699999999546</v>
      </c>
      <c r="AM30" s="233">
        <f t="shared" si="37"/>
        <v>-50.81699999999546</v>
      </c>
      <c r="AN30" s="234">
        <f t="shared" si="37"/>
        <v>-38.112999999993917</v>
      </c>
      <c r="AO30" s="232">
        <f t="shared" ref="AO30:BA30" si="39">AO24-SUM(AO25:AO29,AO31)</f>
        <v>-1514.3809999999976</v>
      </c>
      <c r="AP30" s="233">
        <f t="shared" si="39"/>
        <v>-67.122999999995955</v>
      </c>
      <c r="AQ30" s="233">
        <f t="shared" si="39"/>
        <v>-67.227999999999156</v>
      </c>
      <c r="AR30" s="233">
        <f t="shared" si="39"/>
        <v>-64.726999999998952</v>
      </c>
      <c r="AS30" s="233">
        <f t="shared" si="39"/>
        <v>-66.027000000005501</v>
      </c>
      <c r="AT30" s="233">
        <f t="shared" si="39"/>
        <v>-67.226000000006024</v>
      </c>
      <c r="AU30" s="233">
        <f t="shared" si="39"/>
        <v>-64.726000000002387</v>
      </c>
      <c r="AV30" s="233">
        <f t="shared" si="39"/>
        <v>-66.025999999998021</v>
      </c>
      <c r="AW30" s="233">
        <f t="shared" si="39"/>
        <v>-66.218000000000757</v>
      </c>
      <c r="AX30" s="233">
        <f t="shared" si="39"/>
        <v>-64.420000000001892</v>
      </c>
      <c r="AY30" s="233">
        <f t="shared" si="39"/>
        <v>-65.320999999999913</v>
      </c>
      <c r="AZ30" s="234">
        <f t="shared" si="39"/>
        <v>151.80500000000029</v>
      </c>
      <c r="BA30" s="235">
        <f t="shared" si="39"/>
        <v>-50.822999999996682</v>
      </c>
    </row>
    <row r="31" spans="3:53" s="100" customFormat="1" ht="21.75" customHeight="1" thickBot="1">
      <c r="D31" s="260" t="s">
        <v>62</v>
      </c>
      <c r="E31" s="240">
        <f t="shared" ref="E31:AN31" si="40">-E90</f>
        <v>-243.57300000000001</v>
      </c>
      <c r="F31" s="241">
        <f t="shared" si="40"/>
        <v>2827.1419999999998</v>
      </c>
      <c r="G31" s="241">
        <f t="shared" si="40"/>
        <v>3832.5210000000002</v>
      </c>
      <c r="H31" s="243">
        <f t="shared" si="40"/>
        <v>2663.7959999999998</v>
      </c>
      <c r="I31" s="241">
        <f t="shared" si="40"/>
        <v>0</v>
      </c>
      <c r="J31" s="241">
        <f t="shared" si="40"/>
        <v>0</v>
      </c>
      <c r="K31" s="241">
        <f t="shared" si="40"/>
        <v>0</v>
      </c>
      <c r="L31" s="241">
        <f t="shared" si="40"/>
        <v>0</v>
      </c>
      <c r="M31" s="241">
        <f t="shared" si="40"/>
        <v>0</v>
      </c>
      <c r="N31" s="241">
        <f t="shared" si="40"/>
        <v>0</v>
      </c>
      <c r="O31" s="241">
        <f t="shared" si="40"/>
        <v>0</v>
      </c>
      <c r="P31" s="242">
        <f t="shared" si="40"/>
        <v>0</v>
      </c>
      <c r="Q31" s="240">
        <f t="shared" ref="Q31:AB31" si="41">-Q90</f>
        <v>-243.57300000000001</v>
      </c>
      <c r="R31" s="241">
        <f t="shared" si="41"/>
        <v>2827.1419999999998</v>
      </c>
      <c r="S31" s="241">
        <f t="shared" si="41"/>
        <v>3832.5210000000002</v>
      </c>
      <c r="T31" s="241">
        <f t="shared" si="41"/>
        <v>4265.0479999999998</v>
      </c>
      <c r="U31" s="241">
        <f t="shared" si="41"/>
        <v>3743.0509999999999</v>
      </c>
      <c r="V31" s="241">
        <f t="shared" si="41"/>
        <v>6236.9809999999998</v>
      </c>
      <c r="W31" s="241">
        <f t="shared" si="41"/>
        <v>9992.1509999999998</v>
      </c>
      <c r="X31" s="241">
        <f t="shared" si="41"/>
        <v>8362.5</v>
      </c>
      <c r="Y31" s="241">
        <f t="shared" si="41"/>
        <v>12273.48</v>
      </c>
      <c r="Z31" s="241">
        <f t="shared" si="41"/>
        <v>16917.773000000001</v>
      </c>
      <c r="AA31" s="241">
        <f t="shared" si="41"/>
        <v>16227.116</v>
      </c>
      <c r="AB31" s="242">
        <f t="shared" si="41"/>
        <v>16337.717000000001</v>
      </c>
      <c r="AC31" s="240">
        <f t="shared" si="40"/>
        <v>3483.261</v>
      </c>
      <c r="AD31" s="241">
        <f t="shared" si="40"/>
        <v>7230.6220000000003</v>
      </c>
      <c r="AE31" s="241">
        <f t="shared" si="40"/>
        <v>6555.2330000000002</v>
      </c>
      <c r="AF31" s="241">
        <f t="shared" si="40"/>
        <v>4781.6819999999998</v>
      </c>
      <c r="AG31" s="241">
        <f t="shared" si="40"/>
        <v>3541.7109999999998</v>
      </c>
      <c r="AH31" s="241">
        <f t="shared" si="40"/>
        <v>4901.8879999999999</v>
      </c>
      <c r="AI31" s="241">
        <f t="shared" si="40"/>
        <v>8797.741</v>
      </c>
      <c r="AJ31" s="241">
        <f t="shared" si="40"/>
        <v>4626.4399999999996</v>
      </c>
      <c r="AK31" s="241">
        <f t="shared" si="40"/>
        <v>8548.1029999999992</v>
      </c>
      <c r="AL31" s="241">
        <f t="shared" si="40"/>
        <v>12636.487999999999</v>
      </c>
      <c r="AM31" s="241">
        <f t="shared" si="40"/>
        <v>11196.107</v>
      </c>
      <c r="AN31" s="242">
        <f t="shared" si="40"/>
        <v>10788.223</v>
      </c>
      <c r="AO31" s="240">
        <f t="shared" ref="AO31:BA31" si="42">-AO90</f>
        <v>5123.9319999999998</v>
      </c>
      <c r="AP31" s="241">
        <f t="shared" si="42"/>
        <v>8099.433</v>
      </c>
      <c r="AQ31" s="241">
        <f t="shared" si="42"/>
        <v>18225.797999999999</v>
      </c>
      <c r="AR31" s="241">
        <f t="shared" si="42"/>
        <v>8649.11</v>
      </c>
      <c r="AS31" s="241">
        <f t="shared" si="42"/>
        <v>3582.9879999999998</v>
      </c>
      <c r="AT31" s="241">
        <f t="shared" si="42"/>
        <v>18756.526000000002</v>
      </c>
      <c r="AU31" s="241">
        <f t="shared" si="42"/>
        <v>7013.3249999999998</v>
      </c>
      <c r="AV31" s="241">
        <f t="shared" si="42"/>
        <v>2150.7379999999998</v>
      </c>
      <c r="AW31" s="241">
        <f t="shared" si="42"/>
        <v>3936.819</v>
      </c>
      <c r="AX31" s="241">
        <f t="shared" si="42"/>
        <v>-3011.8629999999998</v>
      </c>
      <c r="AY31" s="241">
        <f t="shared" si="42"/>
        <v>-2660.3580000000002</v>
      </c>
      <c r="AZ31" s="242">
        <f t="shared" si="42"/>
        <v>5093.1099999999997</v>
      </c>
      <c r="BA31" s="243">
        <f t="shared" si="42"/>
        <v>2565.462</v>
      </c>
    </row>
    <row r="32" spans="3:53" s="113" customFormat="1" ht="12">
      <c r="D32" s="115" t="s">
        <v>61</v>
      </c>
      <c r="E32" s="114">
        <f t="shared" ref="E32:AN32" si="43">E21+E23+E24</f>
        <v>-4.0000000299187377E-3</v>
      </c>
      <c r="F32" s="114">
        <f t="shared" si="43"/>
        <v>-5.0000000082945917E-3</v>
      </c>
      <c r="G32" s="114">
        <f t="shared" si="43"/>
        <v>-1039.6640000000007</v>
      </c>
      <c r="H32" s="114">
        <f t="shared" si="43"/>
        <v>-1039.6689999999944</v>
      </c>
      <c r="I32" s="114">
        <f t="shared" si="43"/>
        <v>0</v>
      </c>
      <c r="J32" s="114">
        <f t="shared" si="43"/>
        <v>0</v>
      </c>
      <c r="K32" s="114">
        <f t="shared" si="43"/>
        <v>0</v>
      </c>
      <c r="L32" s="114">
        <f t="shared" si="43"/>
        <v>0</v>
      </c>
      <c r="M32" s="114">
        <f t="shared" si="43"/>
        <v>0</v>
      </c>
      <c r="N32" s="114">
        <f t="shared" si="43"/>
        <v>0</v>
      </c>
      <c r="O32" s="114">
        <f t="shared" si="43"/>
        <v>0</v>
      </c>
      <c r="P32" s="114">
        <f t="shared" si="43"/>
        <v>0</v>
      </c>
      <c r="Q32" s="114">
        <f t="shared" ref="Q32:AB32" si="44">Q21+Q23+Q24</f>
        <v>-1039.6720000000314</v>
      </c>
      <c r="R32" s="114">
        <f t="shared" si="44"/>
        <v>-1039.6729999999952</v>
      </c>
      <c r="S32" s="114">
        <f t="shared" si="44"/>
        <v>-1039.6639999999716</v>
      </c>
      <c r="T32" s="114">
        <f t="shared" si="44"/>
        <v>-1039.6679999999978</v>
      </c>
      <c r="U32" s="114">
        <f t="shared" si="44"/>
        <v>-1039.6679999999978</v>
      </c>
      <c r="V32" s="114">
        <f t="shared" si="44"/>
        <v>-1039.6680000000015</v>
      </c>
      <c r="W32" s="114">
        <f t="shared" si="44"/>
        <v>-1039.6680000000051</v>
      </c>
      <c r="X32" s="114">
        <f t="shared" si="44"/>
        <v>-1039.6679999999797</v>
      </c>
      <c r="Y32" s="114">
        <f t="shared" si="44"/>
        <v>-1039.667999999976</v>
      </c>
      <c r="Z32" s="114">
        <f t="shared" si="44"/>
        <v>-1039.6679999999651</v>
      </c>
      <c r="AA32" s="114">
        <f t="shared" si="44"/>
        <v>-1039.6680000000306</v>
      </c>
      <c r="AB32" s="114">
        <f t="shared" si="44"/>
        <v>-1039.6679999999469</v>
      </c>
      <c r="AC32" s="114">
        <f t="shared" si="43"/>
        <v>0</v>
      </c>
      <c r="AD32" s="114">
        <f t="shared" si="43"/>
        <v>0</v>
      </c>
      <c r="AE32" s="114">
        <f t="shared" si="43"/>
        <v>3.2741809263825417E-11</v>
      </c>
      <c r="AF32" s="114">
        <f t="shared" si="43"/>
        <v>0</v>
      </c>
      <c r="AG32" s="114">
        <f t="shared" si="43"/>
        <v>0</v>
      </c>
      <c r="AH32" s="114">
        <f t="shared" si="43"/>
        <v>0</v>
      </c>
      <c r="AI32" s="114">
        <f t="shared" si="43"/>
        <v>0</v>
      </c>
      <c r="AJ32" s="114">
        <f t="shared" si="43"/>
        <v>0</v>
      </c>
      <c r="AK32" s="114">
        <f t="shared" si="43"/>
        <v>3.637978807091713E-11</v>
      </c>
      <c r="AL32" s="114">
        <f t="shared" si="43"/>
        <v>0</v>
      </c>
      <c r="AM32" s="114">
        <f t="shared" si="43"/>
        <v>0</v>
      </c>
      <c r="AN32" s="114">
        <f t="shared" si="43"/>
        <v>0</v>
      </c>
      <c r="AO32" s="114">
        <f t="shared" ref="AO32:BA32" si="45">AO21+AO23+AO24</f>
        <v>-21942.260999999984</v>
      </c>
      <c r="AP32" s="114">
        <f t="shared" si="45"/>
        <v>8.9999999981955625E-3</v>
      </c>
      <c r="AQ32" s="114">
        <f t="shared" si="45"/>
        <v>-4.0000000299187377E-3</v>
      </c>
      <c r="AR32" s="114">
        <f t="shared" si="45"/>
        <v>-6.999999975960236E-3</v>
      </c>
      <c r="AS32" s="114">
        <f t="shared" si="45"/>
        <v>2.0000000004074536E-3</v>
      </c>
      <c r="AT32" s="114">
        <f t="shared" si="45"/>
        <v>8.0000000161817297E-3</v>
      </c>
      <c r="AU32" s="114">
        <f t="shared" si="45"/>
        <v>5.0000000082945917E-3</v>
      </c>
      <c r="AV32" s="114">
        <f t="shared" si="45"/>
        <v>2.9999999860592652E-3</v>
      </c>
      <c r="AW32" s="114">
        <f t="shared" si="45"/>
        <v>7.9999999907158781E-3</v>
      </c>
      <c r="AX32" s="114">
        <f t="shared" si="45"/>
        <v>5.9999999648425728E-3</v>
      </c>
      <c r="AY32" s="114">
        <f t="shared" si="45"/>
        <v>-1.2999999955354724E-2</v>
      </c>
      <c r="AZ32" s="114">
        <f t="shared" si="45"/>
        <v>-1039.6649999999645</v>
      </c>
      <c r="BA32" s="114">
        <f t="shared" si="45"/>
        <v>0</v>
      </c>
    </row>
    <row r="33" spans="2:53" s="100" customFormat="1"/>
    <row r="34" spans="2:53" s="100" customFormat="1" hidden="1"/>
    <row r="35" spans="2:53" s="100" customFormat="1" hidden="1" outlineLevel="1">
      <c r="B35" s="107"/>
      <c r="C35" s="112" t="str">
        <f>_xll.IdPrj.AnalyzerFuncs.AnalyzerOLAPMember("[Account].[Reporting Hierarchy].&amp;[901]","","BS1200 - BS_Net Tangible Assets","","-524283.-524283.901","[Account].[Reporting Hierarchy]","000","D0")</f>
        <v>BS1200 - BS_Net Tangible Assets</v>
      </c>
      <c r="D35" s="100" t="str">
        <f>_xll.IdPrj.AnalyzerFuncs.AnalyzerOLAPMember("[Partner].[Partner 1].&amp;[0]","","No Partner","","-524279.-524279.0","[Partner]","000","D1")</f>
        <v>No Partner</v>
      </c>
      <c r="E35" s="100">
        <v>24677.205999999998</v>
      </c>
      <c r="F35" s="100">
        <v>24647.983</v>
      </c>
      <c r="G35" s="100">
        <v>23119.119999999999</v>
      </c>
      <c r="H35" s="100">
        <v>22916.714</v>
      </c>
      <c r="J35" s="102"/>
      <c r="K35" s="102"/>
      <c r="L35" s="102"/>
      <c r="M35" s="102"/>
      <c r="N35" s="102"/>
      <c r="O35" s="102"/>
      <c r="P35" s="102"/>
      <c r="Q35" s="100">
        <v>24677.205999999998</v>
      </c>
      <c r="R35" s="100">
        <v>24647.983</v>
      </c>
      <c r="S35" s="100">
        <v>23119.119999999999</v>
      </c>
      <c r="T35" s="100">
        <v>22990.572</v>
      </c>
      <c r="U35" s="100">
        <v>23258.081999999999</v>
      </c>
      <c r="V35" s="102">
        <v>23027.011999999999</v>
      </c>
      <c r="W35" s="102">
        <v>22794.444</v>
      </c>
      <c r="X35" s="102">
        <v>22870.564999999999</v>
      </c>
      <c r="Y35" s="102">
        <v>22639.506000000001</v>
      </c>
      <c r="Z35" s="102">
        <v>22406.877</v>
      </c>
      <c r="AA35" s="102">
        <v>22253.558000000001</v>
      </c>
      <c r="AB35" s="102">
        <v>22020.01</v>
      </c>
      <c r="AC35" s="100">
        <v>24584.951000000001</v>
      </c>
      <c r="AD35" s="100">
        <v>24991.79</v>
      </c>
      <c r="AE35" s="100">
        <v>24755.796999999999</v>
      </c>
      <c r="AF35" s="100">
        <v>24622.866000000002</v>
      </c>
      <c r="AG35" s="100">
        <v>24886.233</v>
      </c>
      <c r="AH35" s="102">
        <v>24650.952000000001</v>
      </c>
      <c r="AI35" s="102">
        <v>23408.655999999999</v>
      </c>
      <c r="AJ35" s="102">
        <v>23493.109</v>
      </c>
      <c r="AK35" s="102">
        <v>23270.382000000001</v>
      </c>
      <c r="AL35" s="102">
        <v>23046.084999999999</v>
      </c>
      <c r="AM35" s="102">
        <v>22901.098000000002</v>
      </c>
      <c r="AN35" s="102">
        <v>22676.702000000001</v>
      </c>
      <c r="AO35" s="100">
        <v>3458.931</v>
      </c>
      <c r="AP35" s="100">
        <v>28045.738000000001</v>
      </c>
      <c r="AQ35" s="100">
        <v>27776.31</v>
      </c>
      <c r="AR35" s="100">
        <v>27571.5</v>
      </c>
      <c r="AS35" s="100">
        <v>27399.474999999999</v>
      </c>
      <c r="AT35" s="102">
        <v>27172.93</v>
      </c>
      <c r="AU35" s="102">
        <v>26900.736000000001</v>
      </c>
      <c r="AV35" s="102">
        <v>26648.388999999999</v>
      </c>
      <c r="AW35" s="102">
        <v>26402.967000000001</v>
      </c>
      <c r="AX35" s="102">
        <v>26169.718000000001</v>
      </c>
      <c r="AY35" s="102">
        <v>25827.83</v>
      </c>
      <c r="AZ35" s="102">
        <v>23747.594000000001</v>
      </c>
      <c r="BA35" s="102">
        <v>24818.534</v>
      </c>
    </row>
    <row r="36" spans="2:53" s="13" customFormat="1" ht="15.75" hidden="1" outlineLevel="1">
      <c r="B36" s="110"/>
      <c r="C36" s="101" t="s">
        <v>60</v>
      </c>
      <c r="E36" s="13">
        <f t="shared" ref="E36:AN36" si="46">E35</f>
        <v>24677.205999999998</v>
      </c>
      <c r="F36" s="13">
        <f t="shared" si="46"/>
        <v>24647.983</v>
      </c>
      <c r="G36" s="13">
        <f t="shared" si="46"/>
        <v>23119.119999999999</v>
      </c>
      <c r="H36" s="13">
        <f t="shared" si="46"/>
        <v>22916.714</v>
      </c>
      <c r="I36" s="13">
        <f t="shared" si="46"/>
        <v>0</v>
      </c>
      <c r="J36" s="104">
        <f t="shared" si="46"/>
        <v>0</v>
      </c>
      <c r="K36" s="104">
        <f t="shared" si="46"/>
        <v>0</v>
      </c>
      <c r="L36" s="104">
        <f t="shared" si="46"/>
        <v>0</v>
      </c>
      <c r="M36" s="104">
        <f t="shared" si="46"/>
        <v>0</v>
      </c>
      <c r="N36" s="104">
        <f t="shared" si="46"/>
        <v>0</v>
      </c>
      <c r="O36" s="104">
        <f t="shared" si="46"/>
        <v>0</v>
      </c>
      <c r="P36" s="104">
        <f t="shared" si="46"/>
        <v>0</v>
      </c>
      <c r="Q36" s="13">
        <f t="shared" ref="Q36:AB36" si="47">Q35</f>
        <v>24677.205999999998</v>
      </c>
      <c r="R36" s="13">
        <f t="shared" si="47"/>
        <v>24647.983</v>
      </c>
      <c r="S36" s="13">
        <f t="shared" si="47"/>
        <v>23119.119999999999</v>
      </c>
      <c r="T36" s="13">
        <f t="shared" si="47"/>
        <v>22990.572</v>
      </c>
      <c r="U36" s="13">
        <f t="shared" si="47"/>
        <v>23258.081999999999</v>
      </c>
      <c r="V36" s="104">
        <f t="shared" si="47"/>
        <v>23027.011999999999</v>
      </c>
      <c r="W36" s="104">
        <f t="shared" si="47"/>
        <v>22794.444</v>
      </c>
      <c r="X36" s="104">
        <f t="shared" si="47"/>
        <v>22870.564999999999</v>
      </c>
      <c r="Y36" s="104">
        <f t="shared" si="47"/>
        <v>22639.506000000001</v>
      </c>
      <c r="Z36" s="104">
        <f t="shared" si="47"/>
        <v>22406.877</v>
      </c>
      <c r="AA36" s="104">
        <f t="shared" si="47"/>
        <v>22253.558000000001</v>
      </c>
      <c r="AB36" s="104">
        <f t="shared" si="47"/>
        <v>22020.01</v>
      </c>
      <c r="AC36" s="13">
        <f t="shared" si="46"/>
        <v>24584.951000000001</v>
      </c>
      <c r="AD36" s="13">
        <f t="shared" si="46"/>
        <v>24991.79</v>
      </c>
      <c r="AE36" s="13">
        <f t="shared" si="46"/>
        <v>24755.796999999999</v>
      </c>
      <c r="AF36" s="13">
        <f t="shared" si="46"/>
        <v>24622.866000000002</v>
      </c>
      <c r="AG36" s="13">
        <f t="shared" si="46"/>
        <v>24886.233</v>
      </c>
      <c r="AH36" s="104">
        <f t="shared" si="46"/>
        <v>24650.952000000001</v>
      </c>
      <c r="AI36" s="104">
        <f t="shared" si="46"/>
        <v>23408.655999999999</v>
      </c>
      <c r="AJ36" s="104">
        <f t="shared" si="46"/>
        <v>23493.109</v>
      </c>
      <c r="AK36" s="104">
        <f t="shared" si="46"/>
        <v>23270.382000000001</v>
      </c>
      <c r="AL36" s="104">
        <f t="shared" si="46"/>
        <v>23046.084999999999</v>
      </c>
      <c r="AM36" s="104">
        <f t="shared" si="46"/>
        <v>22901.098000000002</v>
      </c>
      <c r="AN36" s="104">
        <f t="shared" si="46"/>
        <v>22676.702000000001</v>
      </c>
      <c r="AO36" s="13">
        <f t="shared" ref="AO36:BA36" si="48">AO35</f>
        <v>3458.931</v>
      </c>
      <c r="AP36" s="13">
        <f t="shared" si="48"/>
        <v>28045.738000000001</v>
      </c>
      <c r="AQ36" s="13">
        <f t="shared" si="48"/>
        <v>27776.31</v>
      </c>
      <c r="AR36" s="13">
        <f t="shared" si="48"/>
        <v>27571.5</v>
      </c>
      <c r="AS36" s="13">
        <f t="shared" si="48"/>
        <v>27399.474999999999</v>
      </c>
      <c r="AT36" s="104">
        <f t="shared" si="48"/>
        <v>27172.93</v>
      </c>
      <c r="AU36" s="104">
        <f t="shared" si="48"/>
        <v>26900.736000000001</v>
      </c>
      <c r="AV36" s="104">
        <f t="shared" si="48"/>
        <v>26648.388999999999</v>
      </c>
      <c r="AW36" s="104">
        <f t="shared" si="48"/>
        <v>26402.967000000001</v>
      </c>
      <c r="AX36" s="104">
        <f t="shared" si="48"/>
        <v>26169.718000000001</v>
      </c>
      <c r="AY36" s="104">
        <f t="shared" si="48"/>
        <v>25827.83</v>
      </c>
      <c r="AZ36" s="104">
        <f t="shared" si="48"/>
        <v>23747.594000000001</v>
      </c>
      <c r="BA36" s="104">
        <f t="shared" si="48"/>
        <v>24818.534</v>
      </c>
    </row>
    <row r="37" spans="2:53" s="100" customFormat="1" hidden="1" outlineLevel="1">
      <c r="B37" s="109"/>
      <c r="J37" s="102"/>
      <c r="K37" s="102"/>
      <c r="L37" s="102"/>
      <c r="M37" s="102"/>
      <c r="N37" s="102"/>
      <c r="O37" s="102"/>
      <c r="P37" s="102"/>
      <c r="V37" s="102"/>
      <c r="W37" s="102"/>
      <c r="X37" s="102"/>
      <c r="Y37" s="102"/>
      <c r="Z37" s="102"/>
      <c r="AA37" s="102"/>
      <c r="AB37" s="102"/>
      <c r="AH37" s="102"/>
      <c r="AI37" s="102"/>
      <c r="AJ37" s="102"/>
      <c r="AK37" s="102"/>
      <c r="AL37" s="102"/>
      <c r="AM37" s="102"/>
      <c r="AN37" s="102"/>
      <c r="AT37" s="102"/>
      <c r="AU37" s="102"/>
      <c r="AV37" s="102"/>
      <c r="AW37" s="102"/>
      <c r="AX37" s="102"/>
      <c r="AY37" s="102"/>
      <c r="AZ37" s="102"/>
      <c r="BA37" s="102"/>
    </row>
    <row r="38" spans="2:53" s="100" customFormat="1" hidden="1" outlineLevel="1">
      <c r="B38" s="109"/>
      <c r="J38" s="102"/>
      <c r="K38" s="102"/>
      <c r="L38" s="102"/>
      <c r="M38" s="102"/>
      <c r="N38" s="102"/>
      <c r="O38" s="102"/>
      <c r="P38" s="102"/>
      <c r="V38" s="102"/>
      <c r="W38" s="102"/>
      <c r="X38" s="102"/>
      <c r="Y38" s="102"/>
      <c r="Z38" s="102"/>
      <c r="AA38" s="102"/>
      <c r="AB38" s="102"/>
      <c r="AH38" s="102"/>
      <c r="AI38" s="102"/>
      <c r="AJ38" s="102"/>
      <c r="AK38" s="102"/>
      <c r="AL38" s="102"/>
      <c r="AM38" s="102"/>
      <c r="AN38" s="102"/>
      <c r="AT38" s="102"/>
      <c r="AU38" s="102"/>
      <c r="AV38" s="102"/>
      <c r="AW38" s="102"/>
      <c r="AX38" s="102"/>
      <c r="AY38" s="102"/>
      <c r="AZ38" s="102"/>
      <c r="BA38" s="102"/>
    </row>
    <row r="39" spans="2:53" s="100" customFormat="1" hidden="1" outlineLevel="1">
      <c r="B39" s="109"/>
      <c r="C39" s="112" t="str">
        <f>_xll.IdPrj.AnalyzerFuncs.AnalyzerOLAPMember("[Account].[Reporting Hierarchy].&amp;[882]","","BS1100 - BS_Net Intangible Assets","","-524283.-524283.882","[Account].[Reporting Hierarchy]","000","D0")</f>
        <v>BS1100 - BS_Net Intangible Assets</v>
      </c>
      <c r="D39" s="100" t="str">
        <f>_xll.IdPrj.AnalyzerFuncs.AnalyzerOLAPMember("[Partner].[Partner 1].&amp;[0]","","No Partner","","-524279.-524279.0","[Partner]","000","D1")</f>
        <v>No Partner</v>
      </c>
      <c r="E39" s="100">
        <v>3820.819</v>
      </c>
      <c r="F39" s="100">
        <v>3834.828</v>
      </c>
      <c r="G39" s="100">
        <v>3814.75</v>
      </c>
      <c r="H39" s="100">
        <v>3860.3359999999998</v>
      </c>
      <c r="J39" s="102"/>
      <c r="K39" s="102"/>
      <c r="L39" s="102"/>
      <c r="M39" s="102"/>
      <c r="N39" s="102"/>
      <c r="O39" s="102"/>
      <c r="P39" s="102"/>
      <c r="Q39" s="100">
        <v>3820.819</v>
      </c>
      <c r="R39" s="100">
        <v>3834.828</v>
      </c>
      <c r="S39" s="100">
        <v>3814.75</v>
      </c>
      <c r="T39" s="100">
        <v>3963.0050000000001</v>
      </c>
      <c r="U39" s="100">
        <v>3877.7890000000002</v>
      </c>
      <c r="V39" s="102">
        <v>3793.0529999999999</v>
      </c>
      <c r="W39" s="102">
        <v>3973.1579999999999</v>
      </c>
      <c r="X39" s="102">
        <v>3898.77</v>
      </c>
      <c r="Y39" s="102">
        <v>3809.8629999999998</v>
      </c>
      <c r="Z39" s="102">
        <v>3720.665</v>
      </c>
      <c r="AA39" s="102">
        <v>3631.9180000000001</v>
      </c>
      <c r="AB39" s="102">
        <v>3542.85</v>
      </c>
      <c r="AC39" s="100">
        <v>5033.7730000000001</v>
      </c>
      <c r="AD39" s="100">
        <v>4957.2060000000001</v>
      </c>
      <c r="AE39" s="100">
        <v>4879.3879999999999</v>
      </c>
      <c r="AF39" s="100">
        <v>5031.4409999999998</v>
      </c>
      <c r="AG39" s="100">
        <v>4950.0249999999996</v>
      </c>
      <c r="AH39" s="102">
        <v>4869.0879999999997</v>
      </c>
      <c r="AI39" s="102">
        <v>4623.9579999999996</v>
      </c>
      <c r="AJ39" s="102">
        <v>4558.0200000000004</v>
      </c>
      <c r="AK39" s="102">
        <v>4477.5630000000001</v>
      </c>
      <c r="AL39" s="102">
        <v>4396.8159999999998</v>
      </c>
      <c r="AM39" s="102">
        <v>4316.5190000000002</v>
      </c>
      <c r="AN39" s="102">
        <v>4235.902</v>
      </c>
      <c r="AO39" s="100">
        <v>-1066.6679999999999</v>
      </c>
      <c r="AP39" s="100">
        <v>5285.7939999999999</v>
      </c>
      <c r="AQ39" s="100">
        <v>5208.2969999999996</v>
      </c>
      <c r="AR39" s="100">
        <v>5197.4480000000003</v>
      </c>
      <c r="AS39" s="100">
        <v>5246.1049999999996</v>
      </c>
      <c r="AT39" s="102">
        <v>5240.3959999999997</v>
      </c>
      <c r="AU39" s="102">
        <v>5220.665</v>
      </c>
      <c r="AV39" s="102">
        <v>5148.5249999999996</v>
      </c>
      <c r="AW39" s="102">
        <v>5208.1450000000004</v>
      </c>
      <c r="AX39" s="102">
        <v>5065.2939999999999</v>
      </c>
      <c r="AY39" s="102">
        <v>4372.2569999999996</v>
      </c>
      <c r="AZ39" s="102">
        <v>3804.6060000000002</v>
      </c>
      <c r="BA39" s="102">
        <v>5111.7</v>
      </c>
    </row>
    <row r="40" spans="2:53" s="100" customFormat="1" hidden="1" outlineLevel="1">
      <c r="B40" s="109"/>
      <c r="C40" s="112" t="str">
        <f>_xll.IdPrj.AnalyzerFuncs.AnalyzerOLAPMember("[Account].[Reporting Hierarchy].&amp;[879]","","BS1000 - BS_Net GW","","-524283.-524283.879","[Account].[Reporting Hierarchy]","000","D0")</f>
        <v>BS1000 - BS_Net GW</v>
      </c>
      <c r="D40" s="100" t="str">
        <f>_xll.IdPrj.AnalyzerFuncs.AnalyzerOLAPMember("[Partner].[Partner 1].&amp;[0]","","No Partner","","-524279.-524279.0","[Partner]","000","D1")</f>
        <v>No Partner</v>
      </c>
      <c r="E40" s="100">
        <v>150393.152</v>
      </c>
      <c r="F40" s="100">
        <v>150393.152</v>
      </c>
      <c r="G40" s="100">
        <v>150393.152</v>
      </c>
      <c r="H40" s="100">
        <v>150393.152</v>
      </c>
      <c r="J40" s="102"/>
      <c r="K40" s="102"/>
      <c r="L40" s="102"/>
      <c r="M40" s="102"/>
      <c r="N40" s="102"/>
      <c r="O40" s="102"/>
      <c r="P40" s="102"/>
      <c r="Q40" s="100">
        <v>150393.152</v>
      </c>
      <c r="R40" s="100">
        <v>150393.152</v>
      </c>
      <c r="S40" s="100">
        <v>150393.152</v>
      </c>
      <c r="T40" s="100">
        <v>150393.152</v>
      </c>
      <c r="U40" s="100">
        <v>150393.152</v>
      </c>
      <c r="V40" s="102">
        <v>150393.152</v>
      </c>
      <c r="W40" s="102">
        <v>150393.152</v>
      </c>
      <c r="X40" s="102">
        <v>150393.152</v>
      </c>
      <c r="Y40" s="102">
        <v>150393.152</v>
      </c>
      <c r="Z40" s="102">
        <v>150393.152</v>
      </c>
      <c r="AA40" s="102">
        <v>150393.152</v>
      </c>
      <c r="AB40" s="102">
        <v>150393.152</v>
      </c>
      <c r="AC40" s="100">
        <v>151394.285</v>
      </c>
      <c r="AD40" s="100">
        <v>151391.21400000001</v>
      </c>
      <c r="AE40" s="100">
        <v>151388.14300000001</v>
      </c>
      <c r="AF40" s="100">
        <v>151385.07199999999</v>
      </c>
      <c r="AG40" s="100">
        <v>151382.00099999999</v>
      </c>
      <c r="AH40" s="102">
        <v>151378.93</v>
      </c>
      <c r="AI40" s="102">
        <v>151375.859</v>
      </c>
      <c r="AJ40" s="102">
        <v>151372.788</v>
      </c>
      <c r="AK40" s="102">
        <v>151369.717</v>
      </c>
      <c r="AL40" s="102">
        <v>151366.64600000001</v>
      </c>
      <c r="AM40" s="102">
        <v>151363.57500000001</v>
      </c>
      <c r="AN40" s="102">
        <v>151360.50399999999</v>
      </c>
      <c r="AO40" s="100">
        <v>151434.20800000001</v>
      </c>
      <c r="AP40" s="100">
        <v>151428.06599999999</v>
      </c>
      <c r="AQ40" s="100">
        <v>151424.995</v>
      </c>
      <c r="AR40" s="100">
        <v>151421.924</v>
      </c>
      <c r="AS40" s="100">
        <v>151418.853</v>
      </c>
      <c r="AT40" s="102">
        <v>151415.78200000001</v>
      </c>
      <c r="AU40" s="102">
        <v>151412.71100000001</v>
      </c>
      <c r="AV40" s="102">
        <v>151409.64000000001</v>
      </c>
      <c r="AW40" s="102">
        <v>151406.56899999999</v>
      </c>
      <c r="AX40" s="102">
        <v>151403.49799999999</v>
      </c>
      <c r="AY40" s="102">
        <v>151400.427</v>
      </c>
      <c r="AZ40" s="102">
        <v>150393.152</v>
      </c>
      <c r="BA40" s="102">
        <v>151397.356</v>
      </c>
    </row>
    <row r="41" spans="2:53" s="100" customFormat="1" hidden="1" outlineLevel="1">
      <c r="B41" s="109"/>
      <c r="C41" s="111" t="str">
        <f>_xll.IdPrj.AnalyzerFuncs.AnalyzerOLAPMember("[Account].[Reporting Hierarchy].&amp;[925]","","BS1310 - BS_Gross Other Financial Assets","","-524283.-524283.925","[Account].[Reporting Hierarchy]","000","D0")</f>
        <v>BS1310 - BS_Gross Other Financial Assets</v>
      </c>
      <c r="D41" s="100" t="str">
        <f>_xll.IdPrj.AnalyzerFuncs.AnalyzerOLAPMember("[Partner].[Partner 1].&amp;[0]","","No Partner","","-524279.-524279.0","[Partner]","000","D1")</f>
        <v>No Partner</v>
      </c>
      <c r="E41" s="100">
        <v>202.24</v>
      </c>
      <c r="F41" s="100">
        <v>202.49799999999999</v>
      </c>
      <c r="G41" s="100">
        <v>111.157</v>
      </c>
      <c r="H41" s="100">
        <v>110.30800000000001</v>
      </c>
      <c r="J41" s="102"/>
      <c r="K41" s="102"/>
      <c r="L41" s="102"/>
      <c r="M41" s="102"/>
      <c r="N41" s="102"/>
      <c r="O41" s="102"/>
      <c r="P41" s="102"/>
      <c r="Q41" s="100">
        <v>202.24</v>
      </c>
      <c r="R41" s="100">
        <v>202.49799999999999</v>
      </c>
      <c r="S41" s="100">
        <v>111.157</v>
      </c>
      <c r="T41" s="100">
        <v>114.852</v>
      </c>
      <c r="U41" s="100">
        <v>114.852</v>
      </c>
      <c r="V41" s="102">
        <v>114.852</v>
      </c>
      <c r="W41" s="102">
        <v>114.852</v>
      </c>
      <c r="X41" s="102">
        <v>114.852</v>
      </c>
      <c r="Y41" s="102">
        <v>114.852</v>
      </c>
      <c r="Z41" s="102">
        <v>114.852</v>
      </c>
      <c r="AA41" s="102">
        <v>114.852</v>
      </c>
      <c r="AB41" s="102">
        <v>114.852</v>
      </c>
      <c r="AC41" s="100">
        <v>166.91300000000001</v>
      </c>
      <c r="AD41" s="100">
        <v>156.91300000000001</v>
      </c>
      <c r="AE41" s="100">
        <v>116.913</v>
      </c>
      <c r="AF41" s="100">
        <v>116.913</v>
      </c>
      <c r="AG41" s="100">
        <v>116.913</v>
      </c>
      <c r="AH41" s="102">
        <v>116.913</v>
      </c>
      <c r="AI41" s="102">
        <v>116.913</v>
      </c>
      <c r="AJ41" s="102">
        <v>116.913</v>
      </c>
      <c r="AK41" s="102">
        <v>116.913</v>
      </c>
      <c r="AL41" s="102">
        <v>116.913</v>
      </c>
      <c r="AM41" s="102">
        <v>116.913</v>
      </c>
      <c r="AN41" s="102">
        <v>116.913</v>
      </c>
      <c r="AP41" s="100">
        <v>219.89699999999999</v>
      </c>
      <c r="AQ41" s="100">
        <v>219.547</v>
      </c>
      <c r="AR41" s="100">
        <v>219.809</v>
      </c>
      <c r="AS41" s="100">
        <v>217.47900000000001</v>
      </c>
      <c r="AT41" s="102">
        <v>216.97800000000001</v>
      </c>
      <c r="AU41" s="102">
        <v>217.52799999999999</v>
      </c>
      <c r="AV41" s="102">
        <v>217.02199999999999</v>
      </c>
      <c r="AW41" s="102">
        <v>212.22200000000001</v>
      </c>
      <c r="AX41" s="102">
        <v>205.72200000000001</v>
      </c>
      <c r="AY41" s="102">
        <v>207.91399999999999</v>
      </c>
      <c r="AZ41" s="102">
        <v>206.11699999999999</v>
      </c>
      <c r="BA41" s="102">
        <v>211.22200000000001</v>
      </c>
    </row>
    <row r="42" spans="2:53" s="13" customFormat="1" ht="15.75" hidden="1" outlineLevel="1">
      <c r="B42" s="110"/>
      <c r="C42" s="101" t="s">
        <v>59</v>
      </c>
      <c r="E42" s="13">
        <f t="shared" ref="E42:AN42" si="49">SUM(E39:E41)</f>
        <v>154416.21099999998</v>
      </c>
      <c r="F42" s="13">
        <f t="shared" si="49"/>
        <v>154430.478</v>
      </c>
      <c r="G42" s="13">
        <f t="shared" si="49"/>
        <v>154319.05900000001</v>
      </c>
      <c r="H42" s="13">
        <f t="shared" si="49"/>
        <v>154363.796</v>
      </c>
      <c r="I42" s="13">
        <f t="shared" si="49"/>
        <v>0</v>
      </c>
      <c r="J42" s="104">
        <f t="shared" si="49"/>
        <v>0</v>
      </c>
      <c r="K42" s="104">
        <f t="shared" si="49"/>
        <v>0</v>
      </c>
      <c r="L42" s="104">
        <f t="shared" si="49"/>
        <v>0</v>
      </c>
      <c r="M42" s="104">
        <f t="shared" si="49"/>
        <v>0</v>
      </c>
      <c r="N42" s="104">
        <f t="shared" si="49"/>
        <v>0</v>
      </c>
      <c r="O42" s="104">
        <f t="shared" si="49"/>
        <v>0</v>
      </c>
      <c r="P42" s="104">
        <f t="shared" si="49"/>
        <v>0</v>
      </c>
      <c r="Q42" s="13">
        <f t="shared" ref="Q42:AB42" si="50">SUM(Q39:Q41)</f>
        <v>154416.21099999998</v>
      </c>
      <c r="R42" s="13">
        <f t="shared" si="50"/>
        <v>154430.478</v>
      </c>
      <c r="S42" s="13">
        <f t="shared" si="50"/>
        <v>154319.05900000001</v>
      </c>
      <c r="T42" s="13">
        <f t="shared" si="50"/>
        <v>154471.00900000002</v>
      </c>
      <c r="U42" s="13">
        <f t="shared" si="50"/>
        <v>154385.79300000001</v>
      </c>
      <c r="V42" s="104">
        <f t="shared" si="50"/>
        <v>154301.05700000003</v>
      </c>
      <c r="W42" s="104">
        <f t="shared" si="50"/>
        <v>154481.16200000001</v>
      </c>
      <c r="X42" s="104">
        <f t="shared" si="50"/>
        <v>154406.774</v>
      </c>
      <c r="Y42" s="104">
        <f t="shared" si="50"/>
        <v>154317.86700000003</v>
      </c>
      <c r="Z42" s="104">
        <f t="shared" si="50"/>
        <v>154228.66900000002</v>
      </c>
      <c r="AA42" s="104">
        <f t="shared" si="50"/>
        <v>154139.92200000002</v>
      </c>
      <c r="AB42" s="104">
        <f t="shared" si="50"/>
        <v>154050.85400000002</v>
      </c>
      <c r="AC42" s="13">
        <f t="shared" si="49"/>
        <v>156594.97099999999</v>
      </c>
      <c r="AD42" s="13">
        <f t="shared" si="49"/>
        <v>156505.33300000001</v>
      </c>
      <c r="AE42" s="13">
        <f t="shared" si="49"/>
        <v>156384.44400000002</v>
      </c>
      <c r="AF42" s="13">
        <f t="shared" si="49"/>
        <v>156533.42599999998</v>
      </c>
      <c r="AG42" s="13">
        <f t="shared" si="49"/>
        <v>156448.93899999998</v>
      </c>
      <c r="AH42" s="104">
        <f t="shared" si="49"/>
        <v>156364.93099999998</v>
      </c>
      <c r="AI42" s="104">
        <f t="shared" si="49"/>
        <v>156116.73000000001</v>
      </c>
      <c r="AJ42" s="104">
        <f t="shared" si="49"/>
        <v>156047.72099999999</v>
      </c>
      <c r="AK42" s="104">
        <f t="shared" si="49"/>
        <v>155964.193</v>
      </c>
      <c r="AL42" s="104">
        <f t="shared" si="49"/>
        <v>155880.375</v>
      </c>
      <c r="AM42" s="104">
        <f t="shared" si="49"/>
        <v>155797.00700000001</v>
      </c>
      <c r="AN42" s="104">
        <f t="shared" si="49"/>
        <v>155713.31899999999</v>
      </c>
      <c r="AO42" s="13">
        <f t="shared" ref="AO42:BA42" si="51">SUM(AO39:AO41)</f>
        <v>150367.54</v>
      </c>
      <c r="AP42" s="13">
        <f t="shared" si="51"/>
        <v>156933.75699999998</v>
      </c>
      <c r="AQ42" s="13">
        <f t="shared" si="51"/>
        <v>156852.83899999998</v>
      </c>
      <c r="AR42" s="13">
        <f t="shared" si="51"/>
        <v>156839.18100000001</v>
      </c>
      <c r="AS42" s="13">
        <f t="shared" si="51"/>
        <v>156882.43700000001</v>
      </c>
      <c r="AT42" s="104">
        <f t="shared" si="51"/>
        <v>156873.15600000002</v>
      </c>
      <c r="AU42" s="104">
        <f t="shared" si="51"/>
        <v>156850.90400000001</v>
      </c>
      <c r="AV42" s="104">
        <f t="shared" si="51"/>
        <v>156775.18700000001</v>
      </c>
      <c r="AW42" s="104">
        <f t="shared" si="51"/>
        <v>156826.93599999999</v>
      </c>
      <c r="AX42" s="104">
        <f t="shared" si="51"/>
        <v>156674.514</v>
      </c>
      <c r="AY42" s="104">
        <f t="shared" si="51"/>
        <v>155980.598</v>
      </c>
      <c r="AZ42" s="104">
        <f t="shared" si="51"/>
        <v>154403.875</v>
      </c>
      <c r="BA42" s="104">
        <f t="shared" si="51"/>
        <v>156720.27800000002</v>
      </c>
    </row>
    <row r="43" spans="2:53" s="100" customFormat="1" hidden="1" outlineLevel="1">
      <c r="B43" s="109"/>
      <c r="C43" s="109"/>
      <c r="J43" s="102"/>
      <c r="K43" s="102"/>
      <c r="L43" s="102"/>
      <c r="M43" s="102"/>
      <c r="N43" s="102"/>
      <c r="O43" s="102"/>
      <c r="P43" s="102"/>
      <c r="V43" s="102"/>
      <c r="W43" s="102"/>
      <c r="X43" s="102"/>
      <c r="Y43" s="102"/>
      <c r="Z43" s="102"/>
      <c r="AA43" s="102"/>
      <c r="AB43" s="102"/>
      <c r="AH43" s="102"/>
      <c r="AI43" s="102"/>
      <c r="AJ43" s="102"/>
      <c r="AK43" s="102"/>
      <c r="AL43" s="102"/>
      <c r="AM43" s="102"/>
      <c r="AN43" s="102"/>
      <c r="AT43" s="102"/>
      <c r="AU43" s="102"/>
      <c r="AV43" s="102"/>
      <c r="AW43" s="102"/>
      <c r="AX43" s="102"/>
      <c r="AY43" s="102"/>
      <c r="AZ43" s="102"/>
      <c r="BA43" s="102"/>
    </row>
    <row r="44" spans="2:53" s="100" customFormat="1" hidden="1" outlineLevel="1">
      <c r="J44" s="102"/>
      <c r="K44" s="102"/>
      <c r="L44" s="102"/>
      <c r="M44" s="102"/>
      <c r="N44" s="102"/>
      <c r="O44" s="102"/>
      <c r="P44" s="102"/>
      <c r="V44" s="102"/>
      <c r="W44" s="102"/>
      <c r="X44" s="102"/>
      <c r="Y44" s="102"/>
      <c r="Z44" s="102"/>
      <c r="AA44" s="102"/>
      <c r="AB44" s="102"/>
      <c r="AH44" s="102"/>
      <c r="AI44" s="102"/>
      <c r="AJ44" s="102"/>
      <c r="AK44" s="102"/>
      <c r="AL44" s="102"/>
      <c r="AM44" s="102"/>
      <c r="AN44" s="102"/>
      <c r="AT44" s="102"/>
      <c r="AU44" s="102"/>
      <c r="AV44" s="102"/>
      <c r="AW44" s="102"/>
      <c r="AX44" s="102"/>
      <c r="AY44" s="102"/>
      <c r="AZ44" s="102"/>
      <c r="BA44" s="102"/>
    </row>
    <row r="45" spans="2:53" s="100" customFormat="1" hidden="1" outlineLevel="1">
      <c r="J45" s="102"/>
      <c r="K45" s="102"/>
      <c r="L45" s="102"/>
      <c r="M45" s="102"/>
      <c r="N45" s="102"/>
      <c r="O45" s="102"/>
      <c r="P45" s="102"/>
      <c r="V45" s="102"/>
      <c r="W45" s="102"/>
      <c r="X45" s="102"/>
      <c r="Y45" s="102"/>
      <c r="Z45" s="102"/>
      <c r="AA45" s="102"/>
      <c r="AB45" s="102"/>
      <c r="AH45" s="102"/>
      <c r="AI45" s="102"/>
      <c r="AJ45" s="102"/>
      <c r="AK45" s="102"/>
      <c r="AL45" s="102"/>
      <c r="AM45" s="102"/>
      <c r="AN45" s="102"/>
      <c r="AT45" s="102"/>
      <c r="AU45" s="102"/>
      <c r="AV45" s="102"/>
      <c r="AW45" s="102"/>
      <c r="AX45" s="102"/>
      <c r="AY45" s="102"/>
      <c r="AZ45" s="102"/>
      <c r="BA45" s="102"/>
    </row>
    <row r="46" spans="2:53" s="100" customFormat="1" hidden="1" outlineLevel="1">
      <c r="C46" s="103" t="str">
        <f>_xll.IdPrj.AnalyzerFuncs.AnalyzerOLAPMember("[Account].[Reporting Hierarchy].&amp;[1033]","","BS7000 - BS_Equity","","-524283.-524283.1033","[Account].[Reporting Hierarchy]","000","D0")</f>
        <v>BS7000 - BS_Equity</v>
      </c>
      <c r="D46" s="100" t="str">
        <f>_xll.IdPrj.AnalyzerFuncs.AnalyzerOLAPMember("[Partner].[Partner 1].&amp;[0]","","No Partner","","-524279.-524279.0","[Partner]","000","D1")</f>
        <v>No Partner</v>
      </c>
      <c r="E46" s="100">
        <v>147404.27073511301</v>
      </c>
      <c r="F46" s="100">
        <v>146290.31053906403</v>
      </c>
      <c r="G46" s="100">
        <v>146988.344688866</v>
      </c>
      <c r="H46" s="100">
        <v>147376.05695578101</v>
      </c>
      <c r="J46" s="102"/>
      <c r="K46" s="102"/>
      <c r="L46" s="102"/>
      <c r="M46" s="102"/>
      <c r="N46" s="102"/>
      <c r="O46" s="102"/>
      <c r="P46" s="102"/>
      <c r="Q46" s="100">
        <v>147425.49097701299</v>
      </c>
      <c r="R46" s="100">
        <v>146661.991644964</v>
      </c>
      <c r="S46" s="100">
        <v>147097.92298406598</v>
      </c>
      <c r="T46" s="100">
        <v>147312.027463559</v>
      </c>
      <c r="U46" s="100">
        <v>147083.66228505899</v>
      </c>
      <c r="V46" s="102">
        <v>148220.99228525901</v>
      </c>
      <c r="W46" s="102">
        <v>149179.867024259</v>
      </c>
      <c r="X46" s="102">
        <v>148996.31836675899</v>
      </c>
      <c r="Y46" s="102">
        <v>149915.756945659</v>
      </c>
      <c r="Z46" s="102">
        <v>151147.611038859</v>
      </c>
      <c r="AA46" s="102">
        <v>150026.29504465903</v>
      </c>
      <c r="AB46" s="102">
        <v>147526.94296475899</v>
      </c>
      <c r="AC46" s="100">
        <v>155594.9937547</v>
      </c>
      <c r="AD46" s="100">
        <v>155804.08990350002</v>
      </c>
      <c r="AE46" s="100">
        <v>156366.40623669999</v>
      </c>
      <c r="AF46" s="100">
        <v>157320.8143964</v>
      </c>
      <c r="AG46" s="100">
        <v>157505.027738</v>
      </c>
      <c r="AH46" s="102">
        <v>157534.7910268</v>
      </c>
      <c r="AI46" s="102">
        <v>157482.05293999999</v>
      </c>
      <c r="AJ46" s="102">
        <v>155411.05068239997</v>
      </c>
      <c r="AK46" s="102">
        <v>156028.17455179998</v>
      </c>
      <c r="AL46" s="102">
        <v>156460.96360039999</v>
      </c>
      <c r="AM46" s="102">
        <v>155029.8367437</v>
      </c>
      <c r="AN46" s="102">
        <v>152387.53934759999</v>
      </c>
      <c r="AO46" s="100">
        <v>149876.78474649999</v>
      </c>
      <c r="AP46" s="100">
        <v>170461.68649135862</v>
      </c>
      <c r="AQ46" s="100">
        <v>171857.05531471703</v>
      </c>
      <c r="AR46" s="100">
        <v>172539.98671506596</v>
      </c>
      <c r="AS46" s="100">
        <v>162791.51743580299</v>
      </c>
      <c r="AT46" s="102">
        <v>162385.156749677</v>
      </c>
      <c r="AU46" s="102">
        <v>162367.941928657</v>
      </c>
      <c r="AV46" s="102">
        <v>162185.459433354</v>
      </c>
      <c r="AW46" s="102">
        <v>162181.70134164899</v>
      </c>
      <c r="AX46" s="102">
        <v>162323.91548420204</v>
      </c>
      <c r="AY46" s="102">
        <v>160009.86749680701</v>
      </c>
      <c r="AZ46" s="102">
        <v>149398.93244423898</v>
      </c>
      <c r="BA46" s="102">
        <v>156290.2308435</v>
      </c>
    </row>
    <row r="47" spans="2:53" s="100" customFormat="1" hidden="1" outlineLevel="1">
      <c r="C47" s="103" t="str">
        <f>_xll.IdPrj.AnalyzerFuncs.AnalyzerOLAPMember("[Account].[Reporting Hierarchy].&amp;[1039]","","BS8000 - BS_Prov. Risks Charges &amp; Deferred Tax. Liability","","-524283.-524283.1039","[Account].[Reporting Hierarchy]","000","D0")</f>
        <v>BS8000 - BS_Prov. Risks Charges &amp; Deferred Tax. Liability</v>
      </c>
      <c r="D47" s="100" t="str">
        <f>_xll.IdPrj.AnalyzerFuncs.AnalyzerOLAPMember("[Partner].[Partner 1].&amp;[0]","","No Partner","","-524279.-524279.0","[Partner]","000","D1")</f>
        <v>No Partner</v>
      </c>
      <c r="E47" s="100">
        <v>14200.954084886998</v>
      </c>
      <c r="F47" s="100">
        <v>14279.177810935998</v>
      </c>
      <c r="G47" s="100">
        <v>14031.379971133998</v>
      </c>
      <c r="H47" s="100">
        <v>13980.432864218998</v>
      </c>
      <c r="J47" s="102"/>
      <c r="K47" s="102"/>
      <c r="L47" s="102"/>
      <c r="M47" s="102"/>
      <c r="N47" s="102"/>
      <c r="O47" s="102"/>
      <c r="P47" s="102"/>
      <c r="Q47" s="100">
        <v>14179.733842987</v>
      </c>
      <c r="R47" s="100">
        <v>14129.712705036</v>
      </c>
      <c r="S47" s="100">
        <v>13921.801675933999</v>
      </c>
      <c r="T47" s="100">
        <v>13684.418536440997</v>
      </c>
      <c r="U47" s="100">
        <v>13517.196714940999</v>
      </c>
      <c r="V47" s="102">
        <v>13281.197714741002</v>
      </c>
      <c r="W47" s="102">
        <v>13152.928975740999</v>
      </c>
      <c r="X47" s="102">
        <v>13077.426633240997</v>
      </c>
      <c r="Y47" s="102">
        <v>13042.031054340998</v>
      </c>
      <c r="Z47" s="102">
        <v>12939.000961140997</v>
      </c>
      <c r="AA47" s="102">
        <v>12946.788955340997</v>
      </c>
      <c r="AB47" s="102">
        <v>13079.591035240999</v>
      </c>
      <c r="AC47" s="100">
        <v>9622.5482452999968</v>
      </c>
      <c r="AD47" s="100">
        <v>9638.4950964999971</v>
      </c>
      <c r="AE47" s="100">
        <v>9654.4047632999955</v>
      </c>
      <c r="AF47" s="100">
        <v>9669.443603599997</v>
      </c>
      <c r="AG47" s="100">
        <v>9685.3662619999977</v>
      </c>
      <c r="AH47" s="102">
        <v>9701.361973199997</v>
      </c>
      <c r="AI47" s="102">
        <v>9715.6770599999982</v>
      </c>
      <c r="AJ47" s="102">
        <v>9730.793317599997</v>
      </c>
      <c r="AK47" s="102">
        <v>9745.9674481999991</v>
      </c>
      <c r="AL47" s="102">
        <v>9760.4233995999966</v>
      </c>
      <c r="AM47" s="102">
        <v>9775.6812562999985</v>
      </c>
      <c r="AN47" s="102">
        <v>9790.9046523999987</v>
      </c>
      <c r="AO47" s="100">
        <v>1098.7852534999997</v>
      </c>
      <c r="AP47" s="100">
        <v>9521.8158460413779</v>
      </c>
      <c r="AQ47" s="100">
        <v>8973.2664820829796</v>
      </c>
      <c r="AR47" s="100">
        <v>9004.2402849340397</v>
      </c>
      <c r="AS47" s="100">
        <v>9037.1873541969981</v>
      </c>
      <c r="AT47" s="102">
        <v>9351.6988603230002</v>
      </c>
      <c r="AU47" s="102">
        <v>9399.8170813429988</v>
      </c>
      <c r="AV47" s="102">
        <v>9584.1147866460014</v>
      </c>
      <c r="AW47" s="102">
        <v>9699.2392283509998</v>
      </c>
      <c r="AX47" s="102">
        <v>9879.4985057979993</v>
      </c>
      <c r="AY47" s="102">
        <v>9623.2945931929989</v>
      </c>
      <c r="AZ47" s="102">
        <v>10591.995855760999</v>
      </c>
      <c r="BA47" s="102">
        <v>9618.0651565000007</v>
      </c>
    </row>
    <row r="48" spans="2:53" s="13" customFormat="1" ht="15.75" hidden="1" outlineLevel="1">
      <c r="C48" s="101" t="s">
        <v>58</v>
      </c>
      <c r="E48" s="13">
        <f t="shared" ref="E48:AN48" si="52">+SUM(E46:E47)</f>
        <v>161605.22482</v>
      </c>
      <c r="F48" s="13">
        <f t="shared" si="52"/>
        <v>160569.48835000003</v>
      </c>
      <c r="G48" s="13">
        <f t="shared" si="52"/>
        <v>161019.72466000001</v>
      </c>
      <c r="H48" s="13">
        <f t="shared" si="52"/>
        <v>161356.48982000002</v>
      </c>
      <c r="I48" s="13">
        <f t="shared" si="52"/>
        <v>0</v>
      </c>
      <c r="J48" s="104">
        <f t="shared" si="52"/>
        <v>0</v>
      </c>
      <c r="K48" s="104">
        <f t="shared" si="52"/>
        <v>0</v>
      </c>
      <c r="L48" s="104">
        <f t="shared" si="52"/>
        <v>0</v>
      </c>
      <c r="M48" s="104">
        <f t="shared" si="52"/>
        <v>0</v>
      </c>
      <c r="N48" s="104">
        <f t="shared" si="52"/>
        <v>0</v>
      </c>
      <c r="O48" s="104">
        <f t="shared" si="52"/>
        <v>0</v>
      </c>
      <c r="P48" s="104">
        <f t="shared" si="52"/>
        <v>0</v>
      </c>
      <c r="Q48" s="13">
        <f t="shared" ref="Q48:AB48" si="53">+SUM(Q46:Q47)</f>
        <v>161605.22482</v>
      </c>
      <c r="R48" s="13">
        <f t="shared" si="53"/>
        <v>160791.70435000001</v>
      </c>
      <c r="S48" s="13">
        <f t="shared" si="53"/>
        <v>161019.72465999998</v>
      </c>
      <c r="T48" s="13">
        <f t="shared" si="53"/>
        <v>160996.446</v>
      </c>
      <c r="U48" s="13">
        <f t="shared" si="53"/>
        <v>160600.859</v>
      </c>
      <c r="V48" s="104">
        <f t="shared" si="53"/>
        <v>161502.19</v>
      </c>
      <c r="W48" s="104">
        <f t="shared" si="53"/>
        <v>162332.796</v>
      </c>
      <c r="X48" s="104">
        <f t="shared" si="53"/>
        <v>162073.745</v>
      </c>
      <c r="Y48" s="104">
        <f t="shared" si="53"/>
        <v>162957.788</v>
      </c>
      <c r="Z48" s="104">
        <f t="shared" si="53"/>
        <v>164086.61199999999</v>
      </c>
      <c r="AA48" s="104">
        <f t="shared" si="53"/>
        <v>162973.08400000003</v>
      </c>
      <c r="AB48" s="104">
        <f t="shared" si="53"/>
        <v>160606.53399999999</v>
      </c>
      <c r="AC48" s="13">
        <f t="shared" si="52"/>
        <v>165217.54199999999</v>
      </c>
      <c r="AD48" s="13">
        <f t="shared" si="52"/>
        <v>165442.58500000002</v>
      </c>
      <c r="AE48" s="13">
        <f t="shared" si="52"/>
        <v>166020.81099999999</v>
      </c>
      <c r="AF48" s="13">
        <f t="shared" si="52"/>
        <v>166990.258</v>
      </c>
      <c r="AG48" s="13">
        <f t="shared" si="52"/>
        <v>167190.394</v>
      </c>
      <c r="AH48" s="104">
        <f t="shared" si="52"/>
        <v>167236.15299999999</v>
      </c>
      <c r="AI48" s="104">
        <f t="shared" si="52"/>
        <v>167197.72999999998</v>
      </c>
      <c r="AJ48" s="104">
        <f t="shared" si="52"/>
        <v>165141.84399999998</v>
      </c>
      <c r="AK48" s="104">
        <f t="shared" si="52"/>
        <v>165774.14199999999</v>
      </c>
      <c r="AL48" s="104">
        <f t="shared" si="52"/>
        <v>166221.38699999999</v>
      </c>
      <c r="AM48" s="104">
        <f t="shared" si="52"/>
        <v>164805.51799999998</v>
      </c>
      <c r="AN48" s="104">
        <f t="shared" si="52"/>
        <v>162178.44399999999</v>
      </c>
      <c r="AO48" s="13">
        <f t="shared" ref="AO48:BA48" si="54">+SUM(AO46:AO47)</f>
        <v>150975.57</v>
      </c>
      <c r="AP48" s="13">
        <f t="shared" si="54"/>
        <v>179983.50233739999</v>
      </c>
      <c r="AQ48" s="13">
        <f t="shared" si="54"/>
        <v>180830.32179680001</v>
      </c>
      <c r="AR48" s="13">
        <f t="shared" si="54"/>
        <v>181544.22699999998</v>
      </c>
      <c r="AS48" s="13">
        <f t="shared" si="54"/>
        <v>171828.70478999999</v>
      </c>
      <c r="AT48" s="104">
        <f t="shared" si="54"/>
        <v>171736.85561</v>
      </c>
      <c r="AU48" s="104">
        <f t="shared" si="54"/>
        <v>171767.75901000001</v>
      </c>
      <c r="AV48" s="104">
        <f t="shared" si="54"/>
        <v>171769.57422000001</v>
      </c>
      <c r="AW48" s="104">
        <f t="shared" si="54"/>
        <v>171880.94057000001</v>
      </c>
      <c r="AX48" s="104">
        <f t="shared" si="54"/>
        <v>172203.41399000003</v>
      </c>
      <c r="AY48" s="104">
        <f t="shared" si="54"/>
        <v>169633.16209</v>
      </c>
      <c r="AZ48" s="104">
        <f t="shared" si="54"/>
        <v>159990.92829999997</v>
      </c>
      <c r="BA48" s="104">
        <f t="shared" si="54"/>
        <v>165908.296</v>
      </c>
    </row>
    <row r="49" spans="2:53" s="100" customFormat="1" hidden="1" outlineLevel="1">
      <c r="J49" s="102"/>
      <c r="K49" s="102"/>
      <c r="L49" s="102"/>
      <c r="M49" s="102"/>
      <c r="N49" s="102"/>
      <c r="O49" s="102"/>
      <c r="P49" s="102"/>
      <c r="V49" s="102"/>
      <c r="W49" s="102"/>
      <c r="X49" s="102"/>
      <c r="Y49" s="102"/>
      <c r="Z49" s="102"/>
      <c r="AA49" s="102"/>
      <c r="AB49" s="102"/>
      <c r="AH49" s="102"/>
      <c r="AI49" s="102"/>
      <c r="AJ49" s="102"/>
      <c r="AK49" s="102"/>
      <c r="AL49" s="102"/>
      <c r="AM49" s="102"/>
      <c r="AN49" s="102"/>
      <c r="AT49" s="102"/>
      <c r="AU49" s="102"/>
      <c r="AV49" s="102"/>
      <c r="AW49" s="102"/>
      <c r="AX49" s="102"/>
      <c r="AY49" s="102"/>
      <c r="AZ49" s="102"/>
      <c r="BA49" s="102"/>
    </row>
    <row r="50" spans="2:53" s="100" customFormat="1" hidden="1" outlineLevel="1">
      <c r="J50" s="102"/>
      <c r="K50" s="102"/>
      <c r="L50" s="102"/>
      <c r="M50" s="102"/>
      <c r="N50" s="102"/>
      <c r="O50" s="102"/>
      <c r="P50" s="102"/>
      <c r="V50" s="102"/>
      <c r="W50" s="102"/>
      <c r="X50" s="102"/>
      <c r="Y50" s="102"/>
      <c r="Z50" s="102"/>
      <c r="AA50" s="102"/>
      <c r="AB50" s="102"/>
      <c r="AH50" s="102"/>
      <c r="AI50" s="102"/>
      <c r="AJ50" s="102"/>
      <c r="AK50" s="102"/>
      <c r="AL50" s="102"/>
      <c r="AM50" s="102"/>
      <c r="AN50" s="102"/>
      <c r="AT50" s="102"/>
      <c r="AU50" s="102"/>
      <c r="AV50" s="102"/>
      <c r="AW50" s="102"/>
      <c r="AX50" s="102"/>
      <c r="AY50" s="102"/>
      <c r="AZ50" s="102"/>
      <c r="BA50" s="102"/>
    </row>
    <row r="51" spans="2:53" s="100" customFormat="1" hidden="1" outlineLevel="1">
      <c r="B51" s="107"/>
      <c r="J51" s="102"/>
      <c r="K51" s="102"/>
      <c r="L51" s="102"/>
      <c r="M51" s="102"/>
      <c r="N51" s="102"/>
      <c r="O51" s="102"/>
      <c r="P51" s="102"/>
      <c r="V51" s="102"/>
      <c r="W51" s="102"/>
      <c r="X51" s="102"/>
      <c r="Y51" s="102"/>
      <c r="Z51" s="102"/>
      <c r="AA51" s="102"/>
      <c r="AB51" s="102"/>
      <c r="AH51" s="102"/>
      <c r="AI51" s="102"/>
      <c r="AJ51" s="102"/>
      <c r="AK51" s="102"/>
      <c r="AL51" s="102"/>
      <c r="AM51" s="102"/>
      <c r="AN51" s="102"/>
      <c r="AT51" s="102"/>
      <c r="AU51" s="102"/>
      <c r="AV51" s="102"/>
      <c r="AW51" s="102"/>
      <c r="AX51" s="102"/>
      <c r="AY51" s="102"/>
      <c r="AZ51" s="102"/>
      <c r="BA51" s="102"/>
    </row>
    <row r="52" spans="2:53" s="100" customFormat="1" hidden="1" outlineLevel="1">
      <c r="B52" s="107"/>
      <c r="C52" s="103" t="str">
        <f>_xll.IdPrj.AnalyzerFuncs.AnalyzerOLAPMember("[Account].[Reporting Hierarchy].&amp;[1046]","","BS9000 - BS_Net Debt RESTATED","","-524283.-524283.1046","[Account].[Reporting Hierarchy]","000","D0")</f>
        <v>BS9000 - BS_Net Debt RESTATED</v>
      </c>
      <c r="D52" s="100" t="str">
        <f>_xll.IdPrj.AnalyzerFuncs.AnalyzerOLAPMember("[Partner].[Partner 1].&amp;[0]","","No Partner","","-524279.-524279.0","[Partner]","000","D1")</f>
        <v>No Partner</v>
      </c>
      <c r="E52" s="100">
        <v>30171.322</v>
      </c>
      <c r="F52" s="100">
        <v>29546.475999999999</v>
      </c>
      <c r="G52" s="100">
        <v>26812.971000000001</v>
      </c>
      <c r="H52" s="100">
        <v>31997.114000000001</v>
      </c>
      <c r="J52" s="102"/>
      <c r="K52" s="102"/>
      <c r="L52" s="102"/>
      <c r="M52" s="102"/>
      <c r="N52" s="102"/>
      <c r="O52" s="102"/>
      <c r="P52" s="102"/>
      <c r="Q52" s="100">
        <v>31210.99</v>
      </c>
      <c r="R52" s="100">
        <v>30363.928</v>
      </c>
      <c r="S52" s="100">
        <v>26812.971000000001</v>
      </c>
      <c r="T52" s="100">
        <v>33259.26</v>
      </c>
      <c r="U52" s="100">
        <v>33835.366000000002</v>
      </c>
      <c r="V52" s="102">
        <v>31395.314999999999</v>
      </c>
      <c r="W52" s="102">
        <v>27910.106</v>
      </c>
      <c r="X52" s="102">
        <v>29584.272000000001</v>
      </c>
      <c r="Y52" s="102">
        <v>25717.633000000002</v>
      </c>
      <c r="Z52" s="102">
        <v>21072.76</v>
      </c>
      <c r="AA52" s="102">
        <v>21807.401999999998</v>
      </c>
      <c r="AB52" s="102">
        <v>21727.904999999999</v>
      </c>
      <c r="AC52" s="100">
        <v>30821.858</v>
      </c>
      <c r="AD52" s="100">
        <v>27142.776000000002</v>
      </c>
      <c r="AE52" s="100">
        <v>27886.41</v>
      </c>
      <c r="AF52" s="100">
        <v>29645.383999999998</v>
      </c>
      <c r="AG52" s="100">
        <v>30953.535</v>
      </c>
      <c r="AH52" s="102">
        <v>29661.505000000001</v>
      </c>
      <c r="AI52" s="102">
        <v>25750.329000000002</v>
      </c>
      <c r="AJ52" s="102">
        <v>29989.710999999999</v>
      </c>
      <c r="AK52" s="102">
        <v>26136.097000000002</v>
      </c>
      <c r="AL52" s="102">
        <v>22031.635999999999</v>
      </c>
      <c r="AM52" s="102">
        <v>23539.999</v>
      </c>
      <c r="AN52" s="102">
        <v>24003.128000000001</v>
      </c>
      <c r="AO52" s="100">
        <v>18371.89</v>
      </c>
      <c r="AP52" s="100">
        <v>26065.195</v>
      </c>
      <c r="AQ52" s="100">
        <v>22956.620999999999</v>
      </c>
      <c r="AR52" s="100">
        <v>20269.580999999998</v>
      </c>
      <c r="AS52" s="100">
        <v>32699.123</v>
      </c>
      <c r="AT52" s="102">
        <v>26755.188999999998</v>
      </c>
      <c r="AU52" s="102">
        <v>31450.458999999999</v>
      </c>
      <c r="AV52" s="102">
        <v>29393.280999999999</v>
      </c>
      <c r="AW52" s="102">
        <v>24888.539000000001</v>
      </c>
      <c r="AX52" s="102">
        <v>31259.038</v>
      </c>
      <c r="AY52" s="102">
        <v>28844.758999999998</v>
      </c>
      <c r="AZ52" s="102">
        <v>26774.879000000001</v>
      </c>
      <c r="BA52" s="102">
        <v>32779.936000000002</v>
      </c>
    </row>
    <row r="53" spans="2:53" s="13" customFormat="1" ht="15.75" hidden="1" outlineLevel="1">
      <c r="B53" s="108"/>
      <c r="C53" s="101" t="s">
        <v>57</v>
      </c>
      <c r="E53" s="13">
        <f t="shared" ref="E53:AN53" si="55">E52</f>
        <v>30171.322</v>
      </c>
      <c r="F53" s="13">
        <f t="shared" si="55"/>
        <v>29546.475999999999</v>
      </c>
      <c r="G53" s="13">
        <f t="shared" si="55"/>
        <v>26812.971000000001</v>
      </c>
      <c r="H53" s="13">
        <f t="shared" si="55"/>
        <v>31997.114000000001</v>
      </c>
      <c r="I53" s="13">
        <f t="shared" si="55"/>
        <v>0</v>
      </c>
      <c r="J53" s="104">
        <f t="shared" si="55"/>
        <v>0</v>
      </c>
      <c r="K53" s="104">
        <f t="shared" si="55"/>
        <v>0</v>
      </c>
      <c r="L53" s="104">
        <f t="shared" si="55"/>
        <v>0</v>
      </c>
      <c r="M53" s="104">
        <f t="shared" si="55"/>
        <v>0</v>
      </c>
      <c r="N53" s="104">
        <f t="shared" si="55"/>
        <v>0</v>
      </c>
      <c r="O53" s="104">
        <f t="shared" si="55"/>
        <v>0</v>
      </c>
      <c r="P53" s="104">
        <f t="shared" si="55"/>
        <v>0</v>
      </c>
      <c r="Q53" s="13">
        <f t="shared" ref="Q53:AB53" si="56">Q52</f>
        <v>31210.99</v>
      </c>
      <c r="R53" s="13">
        <f t="shared" si="56"/>
        <v>30363.928</v>
      </c>
      <c r="S53" s="13">
        <f t="shared" si="56"/>
        <v>26812.971000000001</v>
      </c>
      <c r="T53" s="13">
        <f t="shared" si="56"/>
        <v>33259.26</v>
      </c>
      <c r="U53" s="13">
        <f t="shared" si="56"/>
        <v>33835.366000000002</v>
      </c>
      <c r="V53" s="104">
        <f t="shared" si="56"/>
        <v>31395.314999999999</v>
      </c>
      <c r="W53" s="104">
        <f t="shared" si="56"/>
        <v>27910.106</v>
      </c>
      <c r="X53" s="104">
        <f t="shared" si="56"/>
        <v>29584.272000000001</v>
      </c>
      <c r="Y53" s="104">
        <f t="shared" si="56"/>
        <v>25717.633000000002</v>
      </c>
      <c r="Z53" s="104">
        <f t="shared" si="56"/>
        <v>21072.76</v>
      </c>
      <c r="AA53" s="104">
        <f t="shared" si="56"/>
        <v>21807.401999999998</v>
      </c>
      <c r="AB53" s="104">
        <f t="shared" si="56"/>
        <v>21727.904999999999</v>
      </c>
      <c r="AC53" s="13">
        <f t="shared" si="55"/>
        <v>30821.858</v>
      </c>
      <c r="AD53" s="13">
        <f t="shared" si="55"/>
        <v>27142.776000000002</v>
      </c>
      <c r="AE53" s="13">
        <f t="shared" si="55"/>
        <v>27886.41</v>
      </c>
      <c r="AF53" s="13">
        <f t="shared" si="55"/>
        <v>29645.383999999998</v>
      </c>
      <c r="AG53" s="13">
        <f t="shared" si="55"/>
        <v>30953.535</v>
      </c>
      <c r="AH53" s="104">
        <f t="shared" si="55"/>
        <v>29661.505000000001</v>
      </c>
      <c r="AI53" s="104">
        <f t="shared" si="55"/>
        <v>25750.329000000002</v>
      </c>
      <c r="AJ53" s="104">
        <f t="shared" si="55"/>
        <v>29989.710999999999</v>
      </c>
      <c r="AK53" s="104">
        <f t="shared" si="55"/>
        <v>26136.097000000002</v>
      </c>
      <c r="AL53" s="104">
        <f t="shared" si="55"/>
        <v>22031.635999999999</v>
      </c>
      <c r="AM53" s="104">
        <f t="shared" si="55"/>
        <v>23539.999</v>
      </c>
      <c r="AN53" s="104">
        <f t="shared" si="55"/>
        <v>24003.128000000001</v>
      </c>
      <c r="AO53" s="13">
        <f t="shared" ref="AO53:BA53" si="57">AO52</f>
        <v>18371.89</v>
      </c>
      <c r="AP53" s="13">
        <f t="shared" si="57"/>
        <v>26065.195</v>
      </c>
      <c r="AQ53" s="13">
        <f t="shared" si="57"/>
        <v>22956.620999999999</v>
      </c>
      <c r="AR53" s="13">
        <f t="shared" si="57"/>
        <v>20269.580999999998</v>
      </c>
      <c r="AS53" s="13">
        <f t="shared" si="57"/>
        <v>32699.123</v>
      </c>
      <c r="AT53" s="104">
        <f t="shared" si="57"/>
        <v>26755.188999999998</v>
      </c>
      <c r="AU53" s="104">
        <f t="shared" si="57"/>
        <v>31450.458999999999</v>
      </c>
      <c r="AV53" s="104">
        <f t="shared" si="57"/>
        <v>29393.280999999999</v>
      </c>
      <c r="AW53" s="104">
        <f t="shared" si="57"/>
        <v>24888.539000000001</v>
      </c>
      <c r="AX53" s="104">
        <f t="shared" si="57"/>
        <v>31259.038</v>
      </c>
      <c r="AY53" s="104">
        <f t="shared" si="57"/>
        <v>28844.758999999998</v>
      </c>
      <c r="AZ53" s="104">
        <f t="shared" si="57"/>
        <v>26774.879000000001</v>
      </c>
      <c r="BA53" s="104">
        <f t="shared" si="57"/>
        <v>32779.936000000002</v>
      </c>
    </row>
    <row r="54" spans="2:53" s="100" customFormat="1" hidden="1" outlineLevel="1">
      <c r="B54" s="107"/>
      <c r="J54" s="102"/>
      <c r="K54" s="102"/>
      <c r="L54" s="102"/>
      <c r="M54" s="102"/>
      <c r="N54" s="102"/>
      <c r="O54" s="102"/>
      <c r="P54" s="102"/>
      <c r="V54" s="102"/>
      <c r="W54" s="102"/>
      <c r="X54" s="102"/>
      <c r="Y54" s="102"/>
      <c r="Z54" s="102"/>
      <c r="AA54" s="102"/>
      <c r="AB54" s="102"/>
      <c r="AH54" s="102"/>
      <c r="AI54" s="102"/>
      <c r="AJ54" s="102"/>
      <c r="AK54" s="102"/>
      <c r="AL54" s="102"/>
      <c r="AM54" s="102"/>
      <c r="AN54" s="102"/>
      <c r="AT54" s="102"/>
      <c r="AU54" s="102"/>
      <c r="AV54" s="102"/>
      <c r="AW54" s="102"/>
      <c r="AX54" s="102"/>
      <c r="AY54" s="102"/>
      <c r="AZ54" s="102"/>
      <c r="BA54" s="102"/>
    </row>
    <row r="55" spans="2:53" s="100" customFormat="1" hidden="1" outlineLevel="1">
      <c r="B55" s="107"/>
      <c r="J55" s="102"/>
      <c r="K55" s="102"/>
      <c r="L55" s="102"/>
      <c r="M55" s="102"/>
      <c r="N55" s="102"/>
      <c r="O55" s="102"/>
      <c r="P55" s="102"/>
      <c r="V55" s="102"/>
      <c r="W55" s="102"/>
      <c r="X55" s="102"/>
      <c r="Y55" s="102"/>
      <c r="Z55" s="102"/>
      <c r="AA55" s="102"/>
      <c r="AB55" s="102"/>
      <c r="AH55" s="102"/>
      <c r="AI55" s="102"/>
      <c r="AJ55" s="102"/>
      <c r="AK55" s="102"/>
      <c r="AL55" s="102"/>
      <c r="AM55" s="102"/>
      <c r="AN55" s="102"/>
      <c r="AT55" s="102"/>
      <c r="AU55" s="102"/>
      <c r="AV55" s="102"/>
      <c r="AW55" s="102"/>
      <c r="AX55" s="102"/>
      <c r="AY55" s="102"/>
      <c r="AZ55" s="102"/>
      <c r="BA55" s="102"/>
    </row>
    <row r="56" spans="2:53" s="100" customFormat="1" hidden="1" outlineLevel="1">
      <c r="B56" s="107"/>
      <c r="C56" s="103"/>
      <c r="D56" s="100" t="str">
        <f>_xll.IdPrj.AnalyzerFuncs.AnalyzerOLAPMember("[Partner].[Partner 1].&amp;[4]","","S9999 - Third Parties","","-524279.-524279.4","[Partner]","000","D1")</f>
        <v>S9999 - Third Parties</v>
      </c>
      <c r="E56" s="100">
        <v>-225.82400000000001</v>
      </c>
      <c r="F56" s="100">
        <v>-2051.462</v>
      </c>
      <c r="G56" s="100">
        <v>-3975.1219999999998</v>
      </c>
      <c r="H56" s="100">
        <v>1838.0450000000001</v>
      </c>
      <c r="J56" s="102"/>
      <c r="K56" s="102"/>
      <c r="L56" s="102"/>
      <c r="M56" s="102"/>
      <c r="N56" s="102"/>
      <c r="O56" s="102"/>
      <c r="P56" s="102"/>
      <c r="Q56" s="100">
        <v>-225.82400000000001</v>
      </c>
      <c r="R56" s="100">
        <v>-2051.462</v>
      </c>
      <c r="S56" s="100">
        <v>-3975.1219999999998</v>
      </c>
      <c r="T56" s="100">
        <v>4004.3180000000002</v>
      </c>
      <c r="U56" s="100">
        <v>4496.424</v>
      </c>
      <c r="V56" s="102">
        <v>1972.373</v>
      </c>
      <c r="W56" s="102">
        <v>-1596.836</v>
      </c>
      <c r="X56" s="102">
        <v>-6.67</v>
      </c>
      <c r="Y56" s="102">
        <v>-3957.3090000000002</v>
      </c>
      <c r="Z56" s="102">
        <v>-8686.1820000000007</v>
      </c>
      <c r="AA56" s="102">
        <v>-8035.54</v>
      </c>
      <c r="AB56" s="102">
        <v>-8199.0370000000003</v>
      </c>
      <c r="AC56" s="100">
        <v>4467.7889999999998</v>
      </c>
      <c r="AD56" s="100">
        <v>704.70699999999999</v>
      </c>
      <c r="AE56" s="100">
        <v>1364.3409999999999</v>
      </c>
      <c r="AF56" s="100">
        <v>3039.3150000000001</v>
      </c>
      <c r="AG56" s="100">
        <v>4263.4660000000003</v>
      </c>
      <c r="AH56" s="102">
        <v>2887.4360000000001</v>
      </c>
      <c r="AI56" s="102">
        <v>-1107.74</v>
      </c>
      <c r="AJ56" s="102">
        <v>3047.6419999999998</v>
      </c>
      <c r="AK56" s="102">
        <v>-889.97199999999998</v>
      </c>
      <c r="AL56" s="102">
        <v>-5078.433</v>
      </c>
      <c r="AM56" s="102">
        <v>-3654.07</v>
      </c>
      <c r="AN56" s="102">
        <v>-3274.9409999999998</v>
      </c>
      <c r="AO56" s="100">
        <v>18371.891</v>
      </c>
      <c r="AP56" s="100">
        <v>10118.617</v>
      </c>
      <c r="AQ56" s="100">
        <v>5686.3329999999996</v>
      </c>
      <c r="AR56" s="100">
        <v>3876.3040000000001</v>
      </c>
      <c r="AS56" s="100">
        <v>7159.3239999999996</v>
      </c>
      <c r="AT56" s="102">
        <v>1155.5519999999999</v>
      </c>
      <c r="AU56" s="102">
        <v>6441.4930000000004</v>
      </c>
      <c r="AV56" s="102">
        <v>4333.2830000000004</v>
      </c>
      <c r="AW56" s="102">
        <v>8853.3780000000006</v>
      </c>
      <c r="AX56" s="102">
        <v>14155.614</v>
      </c>
      <c r="AY56" s="102">
        <v>11678.164000000001</v>
      </c>
      <c r="AZ56" s="102">
        <v>-3995.0010000000002</v>
      </c>
      <c r="BA56" s="102">
        <v>5488.8670000000002</v>
      </c>
    </row>
    <row r="57" spans="2:53" s="13" customFormat="1" ht="15.75" hidden="1" outlineLevel="1">
      <c r="B57" s="108"/>
      <c r="C57" s="101" t="s">
        <v>56</v>
      </c>
      <c r="E57" s="13">
        <f t="shared" ref="E57:AN57" si="58">E53-E56</f>
        <v>30397.146000000001</v>
      </c>
      <c r="F57" s="13">
        <f t="shared" si="58"/>
        <v>31597.937999999998</v>
      </c>
      <c r="G57" s="13">
        <f t="shared" si="58"/>
        <v>30788.093000000001</v>
      </c>
      <c r="H57" s="13">
        <f t="shared" si="58"/>
        <v>30159.069000000003</v>
      </c>
      <c r="I57" s="13">
        <f t="shared" si="58"/>
        <v>0</v>
      </c>
      <c r="J57" s="104">
        <f t="shared" si="58"/>
        <v>0</v>
      </c>
      <c r="K57" s="104">
        <f t="shared" si="58"/>
        <v>0</v>
      </c>
      <c r="L57" s="104">
        <f t="shared" si="58"/>
        <v>0</v>
      </c>
      <c r="M57" s="104">
        <f t="shared" si="58"/>
        <v>0</v>
      </c>
      <c r="N57" s="104">
        <f t="shared" si="58"/>
        <v>0</v>
      </c>
      <c r="O57" s="104">
        <f t="shared" si="58"/>
        <v>0</v>
      </c>
      <c r="P57" s="104">
        <f t="shared" si="58"/>
        <v>0</v>
      </c>
      <c r="Q57" s="13">
        <f t="shared" ref="Q57:AB57" si="59">Q53-Q56</f>
        <v>31436.814000000002</v>
      </c>
      <c r="R57" s="13">
        <f t="shared" si="59"/>
        <v>32415.39</v>
      </c>
      <c r="S57" s="13">
        <f t="shared" si="59"/>
        <v>30788.093000000001</v>
      </c>
      <c r="T57" s="13">
        <f t="shared" si="59"/>
        <v>29254.942000000003</v>
      </c>
      <c r="U57" s="13">
        <f t="shared" si="59"/>
        <v>29338.942000000003</v>
      </c>
      <c r="V57" s="104">
        <f t="shared" si="59"/>
        <v>29422.941999999999</v>
      </c>
      <c r="W57" s="104">
        <f t="shared" si="59"/>
        <v>29506.941999999999</v>
      </c>
      <c r="X57" s="104">
        <f t="shared" si="59"/>
        <v>29590.941999999999</v>
      </c>
      <c r="Y57" s="104">
        <f t="shared" si="59"/>
        <v>29674.942000000003</v>
      </c>
      <c r="Z57" s="104">
        <f t="shared" si="59"/>
        <v>29758.941999999999</v>
      </c>
      <c r="AA57" s="104">
        <f t="shared" si="59"/>
        <v>29842.941999999999</v>
      </c>
      <c r="AB57" s="104">
        <f t="shared" si="59"/>
        <v>29926.941999999999</v>
      </c>
      <c r="AC57" s="13">
        <f t="shared" si="58"/>
        <v>26354.069</v>
      </c>
      <c r="AD57" s="13">
        <f t="shared" si="58"/>
        <v>26438.069000000003</v>
      </c>
      <c r="AE57" s="13">
        <f t="shared" si="58"/>
        <v>26522.069</v>
      </c>
      <c r="AF57" s="13">
        <f t="shared" si="58"/>
        <v>26606.069</v>
      </c>
      <c r="AG57" s="13">
        <f t="shared" si="58"/>
        <v>26690.069</v>
      </c>
      <c r="AH57" s="104">
        <f t="shared" si="58"/>
        <v>26774.069</v>
      </c>
      <c r="AI57" s="104">
        <f t="shared" si="58"/>
        <v>26858.069000000003</v>
      </c>
      <c r="AJ57" s="104">
        <f t="shared" si="58"/>
        <v>26942.069</v>
      </c>
      <c r="AK57" s="104">
        <f t="shared" si="58"/>
        <v>27026.069000000003</v>
      </c>
      <c r="AL57" s="104">
        <f t="shared" si="58"/>
        <v>27110.069</v>
      </c>
      <c r="AM57" s="104">
        <f t="shared" si="58"/>
        <v>27194.069</v>
      </c>
      <c r="AN57" s="104">
        <f t="shared" si="58"/>
        <v>27278.069</v>
      </c>
      <c r="AO57" s="13">
        <f t="shared" ref="AO57:BA57" si="60">AO53-AO56</f>
        <v>-1.0000000002037268E-3</v>
      </c>
      <c r="AP57" s="13">
        <f t="shared" si="60"/>
        <v>15946.578</v>
      </c>
      <c r="AQ57" s="13">
        <f t="shared" si="60"/>
        <v>17270.288</v>
      </c>
      <c r="AR57" s="13">
        <f t="shared" si="60"/>
        <v>16393.276999999998</v>
      </c>
      <c r="AS57" s="13">
        <f t="shared" si="60"/>
        <v>25539.798999999999</v>
      </c>
      <c r="AT57" s="104">
        <f t="shared" si="60"/>
        <v>25599.636999999999</v>
      </c>
      <c r="AU57" s="104">
        <f t="shared" si="60"/>
        <v>25008.966</v>
      </c>
      <c r="AV57" s="104">
        <f t="shared" si="60"/>
        <v>25059.998</v>
      </c>
      <c r="AW57" s="104">
        <f t="shared" si="60"/>
        <v>16035.161</v>
      </c>
      <c r="AX57" s="104">
        <f t="shared" si="60"/>
        <v>17103.423999999999</v>
      </c>
      <c r="AY57" s="104">
        <f t="shared" si="60"/>
        <v>17166.594999999998</v>
      </c>
      <c r="AZ57" s="104">
        <f t="shared" si="60"/>
        <v>30769.88</v>
      </c>
      <c r="BA57" s="104">
        <f t="shared" si="60"/>
        <v>27291.069000000003</v>
      </c>
    </row>
    <row r="58" spans="2:53" s="100" customFormat="1" hidden="1" outlineLevel="1">
      <c r="J58" s="102"/>
      <c r="K58" s="102"/>
      <c r="L58" s="102"/>
      <c r="M58" s="102"/>
      <c r="N58" s="102"/>
      <c r="O58" s="102"/>
      <c r="P58" s="102"/>
      <c r="V58" s="102"/>
      <c r="W58" s="102"/>
      <c r="X58" s="102"/>
      <c r="Y58" s="102"/>
      <c r="Z58" s="102"/>
      <c r="AA58" s="102"/>
      <c r="AB58" s="102"/>
      <c r="AH58" s="102"/>
      <c r="AI58" s="102"/>
      <c r="AJ58" s="102"/>
      <c r="AK58" s="102"/>
      <c r="AL58" s="102"/>
      <c r="AM58" s="102"/>
      <c r="AN58" s="102"/>
      <c r="AT58" s="102"/>
      <c r="AU58" s="102"/>
      <c r="AV58" s="102"/>
      <c r="AW58" s="102"/>
      <c r="AX58" s="102"/>
      <c r="AY58" s="102"/>
      <c r="AZ58" s="102"/>
      <c r="BA58" s="102"/>
    </row>
    <row r="59" spans="2:53" s="100" customFormat="1" hidden="1" outlineLevel="1">
      <c r="J59" s="102"/>
      <c r="K59" s="102"/>
      <c r="L59" s="102"/>
      <c r="M59" s="102"/>
      <c r="N59" s="102"/>
      <c r="O59" s="102"/>
      <c r="P59" s="102"/>
      <c r="V59" s="102"/>
      <c r="W59" s="102"/>
      <c r="X59" s="102"/>
      <c r="Y59" s="102"/>
      <c r="Z59" s="102"/>
      <c r="AA59" s="102"/>
      <c r="AB59" s="102"/>
      <c r="AH59" s="102"/>
      <c r="AI59" s="102"/>
      <c r="AJ59" s="102"/>
      <c r="AK59" s="102"/>
      <c r="AL59" s="102"/>
      <c r="AM59" s="102"/>
      <c r="AN59" s="102"/>
      <c r="AT59" s="102"/>
      <c r="AU59" s="102"/>
      <c r="AV59" s="102"/>
      <c r="AW59" s="102"/>
      <c r="AX59" s="102"/>
      <c r="AY59" s="102"/>
      <c r="AZ59" s="102"/>
      <c r="BA59" s="102"/>
    </row>
    <row r="60" spans="2:53" s="100" customFormat="1" hidden="1" outlineLevel="1">
      <c r="B60" s="107"/>
      <c r="C60" s="106" t="str">
        <f>_xll.IdPrj.AnalyzerFuncs.AnalyzerOLAPMember("[Account].[Reporting Hierarchy].&amp;[1054]","","P164060 - Loans from Fin. instit. = Notes Rec. discounted","","-524283.-524283.1054","[Account].[Reporting Hierarchy]","000","D0")</f>
        <v>P164060 - Loans from Fin. instit. = Notes Rec. discounted</v>
      </c>
      <c r="D60" s="100" t="str">
        <f>_xll.IdPrj.AnalyzerFuncs.AnalyzerOLAPMember("[Partner].[Partner 1].&amp;[0]","","No Partner","","-524279.-524279.0","[Partner]","000","D1")</f>
        <v>No Partner</v>
      </c>
      <c r="J60" s="102"/>
      <c r="K60" s="102"/>
      <c r="L60" s="102"/>
      <c r="M60" s="102"/>
      <c r="N60" s="102"/>
      <c r="O60" s="102"/>
      <c r="P60" s="102"/>
      <c r="V60" s="102"/>
      <c r="W60" s="102"/>
      <c r="X60" s="102"/>
      <c r="Y60" s="102"/>
      <c r="Z60" s="102"/>
      <c r="AA60" s="102"/>
      <c r="AB60" s="102"/>
      <c r="AH60" s="102"/>
      <c r="AI60" s="102"/>
      <c r="AJ60" s="102"/>
      <c r="AK60" s="102"/>
      <c r="AL60" s="102"/>
      <c r="AM60" s="102"/>
      <c r="AN60" s="102"/>
      <c r="AT60" s="102"/>
      <c r="AU60" s="102"/>
      <c r="AV60" s="102"/>
      <c r="AW60" s="102"/>
      <c r="AX60" s="102"/>
      <c r="AY60" s="102"/>
      <c r="AZ60" s="102"/>
      <c r="BA60" s="102"/>
    </row>
    <row r="61" spans="2:53" s="100" customFormat="1" hidden="1" outlineLevel="1">
      <c r="C61" s="106" t="str">
        <f>_xll.IdPrj.AnalyzerFuncs.AnalyzerOLAPMember("[Account].[Reporting Hierarchy].&amp;[1055]","","P164070 - Loans from Fin. instit. = Factoring Fin. Debt","","-524283.-524283.1055","[Account].[Reporting Hierarchy]","000","D0")</f>
        <v>P164070 - Loans from Fin. instit. = Factoring Fin. Debt</v>
      </c>
      <c r="D61" s="100" t="str">
        <f>_xll.IdPrj.AnalyzerFuncs.AnalyzerOLAPMember("[Partner].[Partner 1].&amp;[0]","","No Partner","","-524279.-524279.0","[Partner]","000","D1")</f>
        <v>No Partner</v>
      </c>
      <c r="J61" s="102"/>
      <c r="K61" s="102"/>
      <c r="L61" s="102"/>
      <c r="M61" s="102"/>
      <c r="N61" s="102"/>
      <c r="O61" s="102"/>
      <c r="P61" s="102"/>
      <c r="V61" s="102"/>
      <c r="W61" s="102"/>
      <c r="X61" s="102"/>
      <c r="Y61" s="102"/>
      <c r="Z61" s="102"/>
      <c r="AA61" s="102"/>
      <c r="AB61" s="102"/>
      <c r="AH61" s="102"/>
      <c r="AI61" s="102"/>
      <c r="AJ61" s="102"/>
      <c r="AK61" s="102"/>
      <c r="AL61" s="102"/>
      <c r="AM61" s="102"/>
      <c r="AN61" s="102"/>
      <c r="AT61" s="102"/>
      <c r="AU61" s="102"/>
      <c r="AV61" s="102"/>
      <c r="AW61" s="102"/>
      <c r="AX61" s="102"/>
      <c r="AY61" s="102"/>
      <c r="AZ61" s="102"/>
      <c r="BA61" s="102"/>
    </row>
    <row r="62" spans="2:53" s="100" customFormat="1" hidden="1" outlineLevel="1">
      <c r="C62" s="106" t="str">
        <f>_xll.IdPrj.AnalyzerFuncs.AnalyzerOLAPMember("[Account].[Reporting Hierarchy].&amp;[1067]","","XFACT025 - BS : Restatement Financial debt Factor","","-524283.-524283.1067","[Account].[Reporting Hierarchy]","000","D0")</f>
        <v>XFACT025 - BS : Restatement Financial debt Factor</v>
      </c>
      <c r="D62" s="100" t="str">
        <f>_xll.IdPrj.AnalyzerFuncs.AnalyzerOLAPMember("[Partner].[Partner 1].&amp;[0]","","No Partner","","-524279.-524279.0","[Partner]","000","D1")</f>
        <v>No Partner</v>
      </c>
      <c r="E62" s="100">
        <v>-3411.9119999999998</v>
      </c>
      <c r="F62" s="100">
        <v>-2140.9690000000001</v>
      </c>
      <c r="G62" s="100">
        <v>-2806.0369999999998</v>
      </c>
      <c r="H62" s="100">
        <v>1918.732</v>
      </c>
      <c r="J62" s="102"/>
      <c r="K62" s="102"/>
      <c r="L62" s="102"/>
      <c r="M62" s="102"/>
      <c r="N62" s="102"/>
      <c r="O62" s="102"/>
      <c r="P62" s="102"/>
      <c r="Q62" s="100">
        <v>-3411.9119999999998</v>
      </c>
      <c r="R62" s="100">
        <v>-2140.9690000000001</v>
      </c>
      <c r="S62" s="100">
        <v>-2806.0369999999998</v>
      </c>
      <c r="T62" s="100">
        <v>5700</v>
      </c>
      <c r="U62" s="100">
        <v>5700</v>
      </c>
      <c r="V62" s="102">
        <v>5700</v>
      </c>
      <c r="W62" s="102">
        <v>5700</v>
      </c>
      <c r="X62" s="102">
        <v>5700</v>
      </c>
      <c r="Y62" s="102">
        <v>5700</v>
      </c>
      <c r="Z62" s="102">
        <v>5700</v>
      </c>
      <c r="AA62" s="102">
        <v>5700</v>
      </c>
      <c r="AB62" s="102">
        <v>5700</v>
      </c>
      <c r="AC62" s="100">
        <v>5700</v>
      </c>
      <c r="AD62" s="100">
        <v>5700</v>
      </c>
      <c r="AE62" s="100">
        <v>5700</v>
      </c>
      <c r="AF62" s="100">
        <v>5700</v>
      </c>
      <c r="AG62" s="100">
        <v>5700</v>
      </c>
      <c r="AH62" s="102">
        <v>5700</v>
      </c>
      <c r="AI62" s="102">
        <v>5700</v>
      </c>
      <c r="AJ62" s="102">
        <v>5700</v>
      </c>
      <c r="AK62" s="102">
        <v>5700</v>
      </c>
      <c r="AL62" s="102">
        <v>5700</v>
      </c>
      <c r="AM62" s="102">
        <v>5700</v>
      </c>
      <c r="AN62" s="102">
        <v>5700</v>
      </c>
      <c r="AO62" s="100">
        <v>5109.1019999999999</v>
      </c>
      <c r="AP62" s="100">
        <v>1272.7809999999999</v>
      </c>
      <c r="AQ62" s="100">
        <v>6935.5280000000002</v>
      </c>
      <c r="AR62" s="100">
        <v>-297.10599999999999</v>
      </c>
      <c r="AS62" s="100">
        <v>-1940.394</v>
      </c>
      <c r="AT62" s="102">
        <v>7210.0420000000004</v>
      </c>
      <c r="AU62" s="102">
        <v>816.06500000000005</v>
      </c>
      <c r="AV62" s="102">
        <v>-6176.098</v>
      </c>
      <c r="AW62" s="102">
        <v>134.25800000000001</v>
      </c>
      <c r="AX62" s="102">
        <v>-1471.066</v>
      </c>
      <c r="AY62" s="102">
        <v>-4023.9070000000002</v>
      </c>
      <c r="AZ62" s="102">
        <v>-1698.6220000000001</v>
      </c>
      <c r="BA62" s="102">
        <v>5700.0010000000002</v>
      </c>
    </row>
    <row r="63" spans="2:53" s="13" customFormat="1" ht="15.75" hidden="1" outlineLevel="1">
      <c r="C63" s="101" t="s">
        <v>55</v>
      </c>
      <c r="E63" s="13">
        <f t="shared" ref="E63:AN63" si="61">SUM(E60:E62)</f>
        <v>-3411.9119999999998</v>
      </c>
      <c r="F63" s="13">
        <f t="shared" si="61"/>
        <v>-2140.9690000000001</v>
      </c>
      <c r="G63" s="13">
        <f t="shared" si="61"/>
        <v>-2806.0369999999998</v>
      </c>
      <c r="H63" s="13">
        <f t="shared" si="61"/>
        <v>1918.732</v>
      </c>
      <c r="I63" s="13">
        <f t="shared" si="61"/>
        <v>0</v>
      </c>
      <c r="J63" s="104">
        <f t="shared" si="61"/>
        <v>0</v>
      </c>
      <c r="K63" s="104">
        <f t="shared" si="61"/>
        <v>0</v>
      </c>
      <c r="L63" s="104">
        <f t="shared" si="61"/>
        <v>0</v>
      </c>
      <c r="M63" s="104">
        <f t="shared" si="61"/>
        <v>0</v>
      </c>
      <c r="N63" s="104">
        <f t="shared" si="61"/>
        <v>0</v>
      </c>
      <c r="O63" s="104">
        <f t="shared" si="61"/>
        <v>0</v>
      </c>
      <c r="P63" s="104">
        <f t="shared" si="61"/>
        <v>0</v>
      </c>
      <c r="Q63" s="13">
        <f t="shared" ref="Q63:AB63" si="62">SUM(Q60:Q62)</f>
        <v>-3411.9119999999998</v>
      </c>
      <c r="R63" s="13">
        <f t="shared" si="62"/>
        <v>-2140.9690000000001</v>
      </c>
      <c r="S63" s="13">
        <f t="shared" si="62"/>
        <v>-2806.0369999999998</v>
      </c>
      <c r="T63" s="13">
        <f t="shared" si="62"/>
        <v>5700</v>
      </c>
      <c r="U63" s="13">
        <f t="shared" si="62"/>
        <v>5700</v>
      </c>
      <c r="V63" s="104">
        <f t="shared" si="62"/>
        <v>5700</v>
      </c>
      <c r="W63" s="104">
        <f t="shared" si="62"/>
        <v>5700</v>
      </c>
      <c r="X63" s="104">
        <f t="shared" si="62"/>
        <v>5700</v>
      </c>
      <c r="Y63" s="104">
        <f t="shared" si="62"/>
        <v>5700</v>
      </c>
      <c r="Z63" s="104">
        <f t="shared" si="62"/>
        <v>5700</v>
      </c>
      <c r="AA63" s="104">
        <f t="shared" si="62"/>
        <v>5700</v>
      </c>
      <c r="AB63" s="104">
        <f t="shared" si="62"/>
        <v>5700</v>
      </c>
      <c r="AC63" s="13">
        <f t="shared" si="61"/>
        <v>5700</v>
      </c>
      <c r="AD63" s="13">
        <f t="shared" si="61"/>
        <v>5700</v>
      </c>
      <c r="AE63" s="13">
        <f t="shared" si="61"/>
        <v>5700</v>
      </c>
      <c r="AF63" s="13">
        <f t="shared" si="61"/>
        <v>5700</v>
      </c>
      <c r="AG63" s="13">
        <f t="shared" si="61"/>
        <v>5700</v>
      </c>
      <c r="AH63" s="104">
        <f t="shared" si="61"/>
        <v>5700</v>
      </c>
      <c r="AI63" s="104">
        <f t="shared" si="61"/>
        <v>5700</v>
      </c>
      <c r="AJ63" s="104">
        <f t="shared" si="61"/>
        <v>5700</v>
      </c>
      <c r="AK63" s="104">
        <f t="shared" si="61"/>
        <v>5700</v>
      </c>
      <c r="AL63" s="104">
        <f t="shared" si="61"/>
        <v>5700</v>
      </c>
      <c r="AM63" s="104">
        <f t="shared" si="61"/>
        <v>5700</v>
      </c>
      <c r="AN63" s="104">
        <f t="shared" si="61"/>
        <v>5700</v>
      </c>
      <c r="AO63" s="13">
        <f t="shared" ref="AO63:BA63" si="63">SUM(AO60:AO62)</f>
        <v>5109.1019999999999</v>
      </c>
      <c r="AP63" s="13">
        <f t="shared" si="63"/>
        <v>1272.7809999999999</v>
      </c>
      <c r="AQ63" s="13">
        <f t="shared" si="63"/>
        <v>6935.5280000000002</v>
      </c>
      <c r="AR63" s="13">
        <f t="shared" si="63"/>
        <v>-297.10599999999999</v>
      </c>
      <c r="AS63" s="13">
        <f t="shared" si="63"/>
        <v>-1940.394</v>
      </c>
      <c r="AT63" s="104">
        <f t="shared" si="63"/>
        <v>7210.0420000000004</v>
      </c>
      <c r="AU63" s="104">
        <f t="shared" si="63"/>
        <v>816.06500000000005</v>
      </c>
      <c r="AV63" s="104">
        <f t="shared" si="63"/>
        <v>-6176.098</v>
      </c>
      <c r="AW63" s="104">
        <f t="shared" si="63"/>
        <v>134.25800000000001</v>
      </c>
      <c r="AX63" s="104">
        <f t="shared" si="63"/>
        <v>-1471.066</v>
      </c>
      <c r="AY63" s="104">
        <f t="shared" si="63"/>
        <v>-4023.9070000000002</v>
      </c>
      <c r="AZ63" s="104">
        <f t="shared" si="63"/>
        <v>-1698.6220000000001</v>
      </c>
      <c r="BA63" s="104">
        <f t="shared" si="63"/>
        <v>5700.0010000000002</v>
      </c>
    </row>
    <row r="64" spans="2:53" s="100" customFormat="1" hidden="1" outlineLevel="1">
      <c r="J64" s="102"/>
      <c r="K64" s="102"/>
      <c r="L64" s="102"/>
      <c r="M64" s="102"/>
      <c r="N64" s="102"/>
      <c r="O64" s="102"/>
      <c r="P64" s="102"/>
      <c r="V64" s="102"/>
      <c r="W64" s="102"/>
      <c r="X64" s="102"/>
      <c r="Y64" s="102"/>
      <c r="Z64" s="102"/>
      <c r="AA64" s="102"/>
      <c r="AB64" s="102"/>
      <c r="AH64" s="102"/>
      <c r="AI64" s="102"/>
      <c r="AJ64" s="102"/>
      <c r="AK64" s="102"/>
      <c r="AL64" s="102"/>
      <c r="AM64" s="102"/>
      <c r="AN64" s="102"/>
      <c r="AT64" s="102"/>
      <c r="AU64" s="102"/>
      <c r="AV64" s="102"/>
      <c r="AW64" s="102"/>
      <c r="AX64" s="102"/>
      <c r="AY64" s="102"/>
      <c r="AZ64" s="102"/>
      <c r="BA64" s="102"/>
    </row>
    <row r="65" spans="3:53" s="100" customFormat="1" hidden="1" outlineLevel="1">
      <c r="J65" s="102"/>
      <c r="K65" s="102"/>
      <c r="L65" s="102"/>
      <c r="M65" s="102"/>
      <c r="N65" s="102"/>
      <c r="O65" s="102"/>
      <c r="P65" s="102"/>
      <c r="V65" s="102"/>
      <c r="W65" s="102"/>
      <c r="X65" s="102"/>
      <c r="Y65" s="102"/>
      <c r="Z65" s="102"/>
      <c r="AA65" s="102"/>
      <c r="AB65" s="102"/>
      <c r="AH65" s="102"/>
      <c r="AI65" s="102"/>
      <c r="AJ65" s="102"/>
      <c r="AK65" s="102"/>
      <c r="AL65" s="102"/>
      <c r="AM65" s="102"/>
      <c r="AN65" s="102"/>
      <c r="AT65" s="102"/>
      <c r="AU65" s="102"/>
      <c r="AV65" s="102"/>
      <c r="AW65" s="102"/>
      <c r="AX65" s="102"/>
      <c r="AY65" s="102"/>
      <c r="AZ65" s="102"/>
      <c r="BA65" s="102"/>
    </row>
    <row r="66" spans="3:53" s="100" customFormat="1" hidden="1" outlineLevel="1">
      <c r="C66" s="106" t="str">
        <f>_xll.IdPrj.AnalyzerFuncs.AnalyzerOLAPMember("[Account].[Reporting Hierarchy].&amp;[1048]","","P163000 - Other debenture debts ( OBSA )","","-524283.-524283.1048","[Account].[Reporting Hierarchy]","000","D0")</f>
        <v>P163000 - Other debenture debts ( OBSA )</v>
      </c>
      <c r="D66" s="100" t="str">
        <f>_xll.IdPrj.AnalyzerFuncs.AnalyzerOLAPMember("[Partner].[Partner 1].&amp;[0]","","No Partner","","-524279.-524279.0","[Partner]","000","D1")</f>
        <v>No Partner</v>
      </c>
      <c r="J66" s="102"/>
      <c r="K66" s="102"/>
      <c r="L66" s="102"/>
      <c r="M66" s="102"/>
      <c r="N66" s="102"/>
      <c r="O66" s="102"/>
      <c r="P66" s="102"/>
      <c r="V66" s="102"/>
      <c r="W66" s="102"/>
      <c r="X66" s="102"/>
      <c r="Y66" s="102"/>
      <c r="Z66" s="102"/>
      <c r="AA66" s="102"/>
      <c r="AB66" s="102"/>
      <c r="AH66" s="102"/>
      <c r="AI66" s="102"/>
      <c r="AJ66" s="102"/>
      <c r="AK66" s="102"/>
      <c r="AL66" s="102"/>
      <c r="AM66" s="102"/>
      <c r="AN66" s="102"/>
      <c r="AT66" s="102"/>
      <c r="AU66" s="102"/>
      <c r="AV66" s="102"/>
      <c r="AW66" s="102"/>
      <c r="AX66" s="102"/>
      <c r="AY66" s="102"/>
      <c r="AZ66" s="102"/>
      <c r="BA66" s="102"/>
    </row>
    <row r="67" spans="3:53" s="100" customFormat="1" hidden="1" outlineLevel="1">
      <c r="C67" s="106" t="str">
        <f>_xll.IdPrj.AnalyzerFuncs.AnalyzerOLAPMember("[Account].[Reporting Hierarchy].&amp;[1049]","","P168830 - Accrued interests on other Debenture loans ( OBSA","","-524283.-524283.1049","[Account].[Reporting Hierarchy]","000","D0")</f>
        <v>P168830 - Accrued interests on other Debenture loans ( OBSA</v>
      </c>
      <c r="D67" s="100" t="str">
        <f>_xll.IdPrj.AnalyzerFuncs.AnalyzerOLAPMember("[Partner].[Partner 1].&amp;[0]","","No Partner","","-524279.-524279.0","[Partner]","000","D1")</f>
        <v>No Partner</v>
      </c>
      <c r="J67" s="102"/>
      <c r="K67" s="102"/>
      <c r="L67" s="102"/>
      <c r="M67" s="102"/>
      <c r="N67" s="102"/>
      <c r="O67" s="102"/>
      <c r="P67" s="102"/>
      <c r="V67" s="102"/>
      <c r="W67" s="102"/>
      <c r="X67" s="102"/>
      <c r="Y67" s="102"/>
      <c r="Z67" s="102"/>
      <c r="AA67" s="102"/>
      <c r="AB67" s="102"/>
      <c r="AH67" s="102"/>
      <c r="AI67" s="102"/>
      <c r="AJ67" s="102"/>
      <c r="AK67" s="102"/>
      <c r="AL67" s="102"/>
      <c r="AM67" s="102"/>
      <c r="AN67" s="102"/>
      <c r="AT67" s="102"/>
      <c r="AU67" s="102"/>
      <c r="AV67" s="102"/>
      <c r="AW67" s="102"/>
      <c r="AX67" s="102"/>
      <c r="AY67" s="102"/>
      <c r="AZ67" s="102"/>
      <c r="BA67" s="102"/>
    </row>
    <row r="68" spans="3:53" s="100" customFormat="1" hidden="1" outlineLevel="1">
      <c r="C68" s="106" t="str">
        <f>_xll.IdPrj.AnalyzerFuncs.AnalyzerOLAPMember("[Account].[Reporting Hierarchy].&amp;[135]","","P164010 - Loans from Financial institutions = Senior debt","","-524283.-524283.135","[Account].[Reporting Hierarchy]","000","D0")</f>
        <v>P164010 - Loans from Financial institutions = Senior debt</v>
      </c>
      <c r="D68" s="100" t="str">
        <f>_xll.IdPrj.AnalyzerFuncs.AnalyzerOLAPMember("[Partner].[Partner 1].&amp;[0]","","No Partner","","-524279.-524279.0","[Partner]","000","D1")</f>
        <v>No Partner</v>
      </c>
      <c r="J68" s="102"/>
      <c r="K68" s="102"/>
      <c r="L68" s="102"/>
      <c r="M68" s="102"/>
      <c r="N68" s="102"/>
      <c r="O68" s="102"/>
      <c r="P68" s="102"/>
      <c r="V68" s="102"/>
      <c r="W68" s="102"/>
      <c r="X68" s="102"/>
      <c r="Y68" s="102"/>
      <c r="Z68" s="102"/>
      <c r="AA68" s="102"/>
      <c r="AB68" s="102"/>
      <c r="AH68" s="102"/>
      <c r="AI68" s="102"/>
      <c r="AJ68" s="102"/>
      <c r="AK68" s="102"/>
      <c r="AL68" s="102"/>
      <c r="AM68" s="102"/>
      <c r="AN68" s="102"/>
      <c r="AT68" s="102"/>
      <c r="AU68" s="102"/>
      <c r="AV68" s="102"/>
      <c r="AW68" s="102"/>
      <c r="AX68" s="102"/>
      <c r="AY68" s="102"/>
      <c r="AZ68" s="102"/>
      <c r="BA68" s="102"/>
    </row>
    <row r="69" spans="3:53" s="100" customFormat="1" hidden="1" outlineLevel="1">
      <c r="C69" s="106" t="str">
        <f>_xll.IdPrj.AnalyzerFuncs.AnalyzerOLAPMember("[Account].[Reporting Hierarchy].&amp;[1050]","","P164020 - Loans from Financial institutions Capex &amp; acquisit","","-524283.-524283.1050","[Account].[Reporting Hierarchy]","000","D0")</f>
        <v>P164020 - Loans from Financial institutions Capex &amp; acquisit</v>
      </c>
      <c r="D69" s="100" t="str">
        <f>_xll.IdPrj.AnalyzerFuncs.AnalyzerOLAPMember("[Partner].[Partner 1].&amp;[0]","","No Partner","","-524279.-524279.0","[Partner]","000","D1")</f>
        <v>No Partner</v>
      </c>
      <c r="J69" s="102"/>
      <c r="K69" s="102"/>
      <c r="L69" s="102"/>
      <c r="M69" s="102"/>
      <c r="N69" s="102"/>
      <c r="O69" s="102"/>
      <c r="P69" s="102"/>
      <c r="V69" s="102"/>
      <c r="W69" s="102"/>
      <c r="X69" s="102"/>
      <c r="Y69" s="102"/>
      <c r="Z69" s="102"/>
      <c r="AA69" s="102"/>
      <c r="AB69" s="102"/>
      <c r="AH69" s="102"/>
      <c r="AI69" s="102"/>
      <c r="AJ69" s="102"/>
      <c r="AK69" s="102"/>
      <c r="AL69" s="102"/>
      <c r="AM69" s="102"/>
      <c r="AN69" s="102"/>
      <c r="AT69" s="102"/>
      <c r="AU69" s="102"/>
      <c r="AV69" s="102"/>
      <c r="AW69" s="102"/>
      <c r="AX69" s="102"/>
      <c r="AY69" s="102"/>
      <c r="AZ69" s="102"/>
      <c r="BA69" s="102"/>
    </row>
    <row r="70" spans="3:53" s="100" customFormat="1" hidden="1" outlineLevel="1">
      <c r="C70" s="106" t="str">
        <f>_xll.IdPrj.AnalyzerFuncs.AnalyzerOLAPMember("[Account].[Reporting Hierarchy].&amp;[1053]","","P164050 - Loans from Financial institutions = bridge debts","","-524283.-524283.1053","[Account].[Reporting Hierarchy]","000","D0")</f>
        <v>P164050 - Loans from Financial institutions = bridge debts</v>
      </c>
      <c r="D70" s="100" t="str">
        <f>_xll.IdPrj.AnalyzerFuncs.AnalyzerOLAPMember("[Partner].[Partner 1].&amp;[0]","","No Partner","","-524279.-524279.0","[Partner]","000","D1")</f>
        <v>No Partner</v>
      </c>
      <c r="J70" s="102"/>
      <c r="K70" s="102"/>
      <c r="L70" s="102"/>
      <c r="M70" s="102"/>
      <c r="N70" s="102"/>
      <c r="O70" s="102"/>
      <c r="P70" s="102"/>
      <c r="V70" s="102"/>
      <c r="W70" s="102"/>
      <c r="X70" s="102"/>
      <c r="Y70" s="102"/>
      <c r="Z70" s="102"/>
      <c r="AA70" s="102"/>
      <c r="AB70" s="102"/>
      <c r="AH70" s="102"/>
      <c r="AI70" s="102"/>
      <c r="AJ70" s="102"/>
      <c r="AK70" s="102"/>
      <c r="AL70" s="102"/>
      <c r="AM70" s="102"/>
      <c r="AN70" s="102"/>
      <c r="AT70" s="102"/>
      <c r="AU70" s="102"/>
      <c r="AV70" s="102"/>
      <c r="AW70" s="102"/>
      <c r="AX70" s="102"/>
      <c r="AY70" s="102"/>
      <c r="AZ70" s="102"/>
      <c r="BA70" s="102"/>
    </row>
    <row r="71" spans="3:53" s="100" customFormat="1" hidden="1" outlineLevel="1">
      <c r="C71" s="106" t="str">
        <f>_xll.IdPrj.AnalyzerFuncs.AnalyzerOLAPMember("[Account].[Reporting Hierarchy].&amp;[1059]","","P168841 - Accrued interests from Fin Inst : Senior Debt","","-524283.-524283.1059","[Account].[Reporting Hierarchy]","000","D0")</f>
        <v>P168841 - Accrued interests from Fin Inst : Senior Debt</v>
      </c>
      <c r="D71" s="100" t="str">
        <f>_xll.IdPrj.AnalyzerFuncs.AnalyzerOLAPMember("[Partner].[Partner 1].&amp;[0]","","No Partner","","-524279.-524279.0","[Partner]","000","D1")</f>
        <v>No Partner</v>
      </c>
      <c r="J71" s="102"/>
      <c r="K71" s="102"/>
      <c r="L71" s="102"/>
      <c r="M71" s="102"/>
      <c r="N71" s="102"/>
      <c r="O71" s="102"/>
      <c r="P71" s="102"/>
      <c r="V71" s="102"/>
      <c r="W71" s="102"/>
      <c r="X71" s="102"/>
      <c r="Y71" s="102"/>
      <c r="Z71" s="102"/>
      <c r="AA71" s="102"/>
      <c r="AB71" s="102"/>
      <c r="AH71" s="102"/>
      <c r="AI71" s="102"/>
      <c r="AJ71" s="102"/>
      <c r="AK71" s="102"/>
      <c r="AL71" s="102"/>
      <c r="AM71" s="102"/>
      <c r="AN71" s="102"/>
      <c r="AT71" s="102"/>
      <c r="AU71" s="102"/>
      <c r="AV71" s="102"/>
      <c r="AW71" s="102"/>
      <c r="AX71" s="102"/>
      <c r="AY71" s="102"/>
      <c r="AZ71" s="102"/>
      <c r="BA71" s="102"/>
    </row>
    <row r="72" spans="3:53" s="100" customFormat="1" hidden="1" outlineLevel="1">
      <c r="C72" s="106" t="str">
        <f>_xll.IdPrj.AnalyzerFuncs.AnalyzerOLAPMember("[Account].[Reporting Hierarchy].&amp;[1060]","","P168842 - Accrued interests from Fin Inst : Capex &amp; Acquis D","","-524283.-524283.1060","[Account].[Reporting Hierarchy]","000","D0")</f>
        <v>P168842 - Accrued interests from Fin Inst : Capex &amp; Acquis D</v>
      </c>
      <c r="D72" s="100" t="str">
        <f>_xll.IdPrj.AnalyzerFuncs.AnalyzerOLAPMember("[Partner].[Partner 1].&amp;[0]","","No Partner","","-524279.-524279.0","[Partner]","000","D1")</f>
        <v>No Partner</v>
      </c>
      <c r="J72" s="102"/>
      <c r="K72" s="102"/>
      <c r="L72" s="102"/>
      <c r="M72" s="102"/>
      <c r="N72" s="102"/>
      <c r="O72" s="102"/>
      <c r="P72" s="102"/>
      <c r="V72" s="102"/>
      <c r="W72" s="102"/>
      <c r="X72" s="102"/>
      <c r="Y72" s="102"/>
      <c r="Z72" s="102"/>
      <c r="AA72" s="102"/>
      <c r="AB72" s="102"/>
      <c r="AH72" s="102"/>
      <c r="AI72" s="102"/>
      <c r="AJ72" s="102"/>
      <c r="AK72" s="102"/>
      <c r="AL72" s="102"/>
      <c r="AM72" s="102"/>
      <c r="AN72" s="102"/>
      <c r="AT72" s="102"/>
      <c r="AU72" s="102"/>
      <c r="AV72" s="102"/>
      <c r="AW72" s="102"/>
      <c r="AX72" s="102"/>
      <c r="AY72" s="102"/>
      <c r="AZ72" s="102"/>
      <c r="BA72" s="102"/>
    </row>
    <row r="73" spans="3:53" s="100" customFormat="1" hidden="1" outlineLevel="1">
      <c r="C73" s="106" t="str">
        <f>_xll.IdPrj.AnalyzerFuncs.AnalyzerOLAPMember("[Account].[Reporting Hierarchy].&amp;[1063]","","P168845 - Accrued interests from Fin Inst : Bridge","","-524283.-524283.1063","[Account].[Reporting Hierarchy]","000","D0")</f>
        <v>P168845 - Accrued interests from Fin Inst : Bridge</v>
      </c>
      <c r="D73" s="100" t="str">
        <f>_xll.IdPrj.AnalyzerFuncs.AnalyzerOLAPMember("[Partner].[Partner 1].&amp;[0]","","No Partner","","-524279.-524279.0","[Partner]","000","D1")</f>
        <v>No Partner</v>
      </c>
      <c r="J73" s="102"/>
      <c r="K73" s="102"/>
      <c r="L73" s="102"/>
      <c r="M73" s="102"/>
      <c r="N73" s="102"/>
      <c r="O73" s="102"/>
      <c r="P73" s="102"/>
      <c r="V73" s="102"/>
      <c r="W73" s="102"/>
      <c r="X73" s="102"/>
      <c r="Y73" s="102"/>
      <c r="Z73" s="102"/>
      <c r="AA73" s="102"/>
      <c r="AB73" s="102"/>
      <c r="AH73" s="102"/>
      <c r="AI73" s="102"/>
      <c r="AJ73" s="102"/>
      <c r="AK73" s="102"/>
      <c r="AL73" s="102"/>
      <c r="AM73" s="102"/>
      <c r="AN73" s="102"/>
      <c r="AT73" s="102"/>
      <c r="AU73" s="102"/>
      <c r="AV73" s="102"/>
      <c r="AW73" s="102"/>
      <c r="AX73" s="102"/>
      <c r="AY73" s="102"/>
      <c r="AZ73" s="102"/>
      <c r="BA73" s="102"/>
    </row>
    <row r="74" spans="3:53" s="13" customFormat="1" ht="15.75" hidden="1" outlineLevel="1">
      <c r="C74" s="101" t="s">
        <v>54</v>
      </c>
      <c r="E74" s="13">
        <f t="shared" ref="E74:AN74" si="64">SUM(E66:E73)</f>
        <v>0</v>
      </c>
      <c r="F74" s="13">
        <f t="shared" si="64"/>
        <v>0</v>
      </c>
      <c r="G74" s="13">
        <f t="shared" si="64"/>
        <v>0</v>
      </c>
      <c r="H74" s="13">
        <f t="shared" si="64"/>
        <v>0</v>
      </c>
      <c r="I74" s="13">
        <f t="shared" si="64"/>
        <v>0</v>
      </c>
      <c r="J74" s="104">
        <f t="shared" si="64"/>
        <v>0</v>
      </c>
      <c r="K74" s="104">
        <f t="shared" si="64"/>
        <v>0</v>
      </c>
      <c r="L74" s="104">
        <f t="shared" si="64"/>
        <v>0</v>
      </c>
      <c r="M74" s="104">
        <f t="shared" si="64"/>
        <v>0</v>
      </c>
      <c r="N74" s="104">
        <f t="shared" si="64"/>
        <v>0</v>
      </c>
      <c r="O74" s="104">
        <f t="shared" si="64"/>
        <v>0</v>
      </c>
      <c r="P74" s="104">
        <f t="shared" si="64"/>
        <v>0</v>
      </c>
      <c r="Q74" s="13">
        <f t="shared" ref="Q74:AB74" si="65">SUM(Q66:Q73)</f>
        <v>0</v>
      </c>
      <c r="R74" s="13">
        <f t="shared" si="65"/>
        <v>0</v>
      </c>
      <c r="S74" s="13">
        <f t="shared" si="65"/>
        <v>0</v>
      </c>
      <c r="T74" s="13">
        <f t="shared" si="65"/>
        <v>0</v>
      </c>
      <c r="U74" s="13">
        <f t="shared" si="65"/>
        <v>0</v>
      </c>
      <c r="V74" s="104">
        <f t="shared" si="65"/>
        <v>0</v>
      </c>
      <c r="W74" s="104">
        <f t="shared" si="65"/>
        <v>0</v>
      </c>
      <c r="X74" s="104">
        <f t="shared" si="65"/>
        <v>0</v>
      </c>
      <c r="Y74" s="104">
        <f t="shared" si="65"/>
        <v>0</v>
      </c>
      <c r="Z74" s="104">
        <f t="shared" si="65"/>
        <v>0</v>
      </c>
      <c r="AA74" s="104">
        <f t="shared" si="65"/>
        <v>0</v>
      </c>
      <c r="AB74" s="104">
        <f t="shared" si="65"/>
        <v>0</v>
      </c>
      <c r="AC74" s="13">
        <f t="shared" si="64"/>
        <v>0</v>
      </c>
      <c r="AD74" s="13">
        <f t="shared" si="64"/>
        <v>0</v>
      </c>
      <c r="AE74" s="13">
        <f t="shared" si="64"/>
        <v>0</v>
      </c>
      <c r="AF74" s="13">
        <f t="shared" si="64"/>
        <v>0</v>
      </c>
      <c r="AG74" s="13">
        <f t="shared" si="64"/>
        <v>0</v>
      </c>
      <c r="AH74" s="104">
        <f t="shared" si="64"/>
        <v>0</v>
      </c>
      <c r="AI74" s="104">
        <f t="shared" si="64"/>
        <v>0</v>
      </c>
      <c r="AJ74" s="104">
        <f t="shared" si="64"/>
        <v>0</v>
      </c>
      <c r="AK74" s="104">
        <f t="shared" si="64"/>
        <v>0</v>
      </c>
      <c r="AL74" s="104">
        <f t="shared" si="64"/>
        <v>0</v>
      </c>
      <c r="AM74" s="104">
        <f t="shared" si="64"/>
        <v>0</v>
      </c>
      <c r="AN74" s="104">
        <f t="shared" si="64"/>
        <v>0</v>
      </c>
      <c r="AO74" s="13">
        <f t="shared" ref="AO74:BA74" si="66">SUM(AO66:AO73)</f>
        <v>0</v>
      </c>
      <c r="AP74" s="13">
        <f t="shared" si="66"/>
        <v>0</v>
      </c>
      <c r="AQ74" s="13">
        <f t="shared" si="66"/>
        <v>0</v>
      </c>
      <c r="AR74" s="13">
        <f t="shared" si="66"/>
        <v>0</v>
      </c>
      <c r="AS74" s="13">
        <f t="shared" si="66"/>
        <v>0</v>
      </c>
      <c r="AT74" s="104">
        <f t="shared" si="66"/>
        <v>0</v>
      </c>
      <c r="AU74" s="104">
        <f t="shared" si="66"/>
        <v>0</v>
      </c>
      <c r="AV74" s="104">
        <f t="shared" si="66"/>
        <v>0</v>
      </c>
      <c r="AW74" s="104">
        <f t="shared" si="66"/>
        <v>0</v>
      </c>
      <c r="AX74" s="104">
        <f t="shared" si="66"/>
        <v>0</v>
      </c>
      <c r="AY74" s="104">
        <f t="shared" si="66"/>
        <v>0</v>
      </c>
      <c r="AZ74" s="104">
        <f t="shared" si="66"/>
        <v>0</v>
      </c>
      <c r="BA74" s="104">
        <f t="shared" si="66"/>
        <v>0</v>
      </c>
    </row>
    <row r="75" spans="3:53" s="100" customFormat="1" hidden="1" outlineLevel="1">
      <c r="J75" s="102"/>
      <c r="K75" s="102"/>
      <c r="L75" s="102"/>
      <c r="M75" s="102"/>
      <c r="N75" s="102"/>
      <c r="O75" s="102"/>
      <c r="P75" s="102"/>
      <c r="V75" s="102"/>
      <c r="W75" s="102"/>
      <c r="X75" s="102"/>
      <c r="Y75" s="102"/>
      <c r="Z75" s="102"/>
      <c r="AA75" s="102"/>
      <c r="AB75" s="102"/>
      <c r="AH75" s="102"/>
      <c r="AI75" s="102"/>
      <c r="AJ75" s="102"/>
      <c r="AK75" s="102"/>
      <c r="AL75" s="102"/>
      <c r="AM75" s="102"/>
      <c r="AN75" s="102"/>
      <c r="AT75" s="102"/>
      <c r="AU75" s="102"/>
      <c r="AV75" s="102"/>
      <c r="AW75" s="102"/>
      <c r="AX75" s="102"/>
      <c r="AY75" s="102"/>
      <c r="AZ75" s="102"/>
      <c r="BA75" s="102"/>
    </row>
    <row r="76" spans="3:53" s="100" customFormat="1" hidden="1" outlineLevel="1">
      <c r="J76" s="102"/>
      <c r="K76" s="102"/>
      <c r="L76" s="102"/>
      <c r="M76" s="102"/>
      <c r="N76" s="102"/>
      <c r="O76" s="102"/>
      <c r="P76" s="102"/>
      <c r="V76" s="102"/>
      <c r="W76" s="102"/>
      <c r="X76" s="102"/>
      <c r="Y76" s="102"/>
      <c r="Z76" s="102"/>
      <c r="AA76" s="102"/>
      <c r="AB76" s="102"/>
      <c r="AH76" s="102"/>
      <c r="AI76" s="102"/>
      <c r="AJ76" s="102"/>
      <c r="AK76" s="102"/>
      <c r="AL76" s="102"/>
      <c r="AM76" s="102"/>
      <c r="AN76" s="102"/>
      <c r="AT76" s="102"/>
      <c r="AU76" s="102"/>
      <c r="AV76" s="102"/>
      <c r="AW76" s="102"/>
      <c r="AX76" s="102"/>
      <c r="AY76" s="102"/>
      <c r="AZ76" s="102"/>
      <c r="BA76" s="102"/>
    </row>
    <row r="77" spans="3:53" s="100" customFormat="1" hidden="1" outlineLevel="1">
      <c r="C77" s="106" t="str">
        <f>_xll.IdPrj.AnalyzerFuncs.AnalyzerOLAPMember("[Account].[Reporting Hierarchy].&amp;[1051]","","P164030 - Loans from Financial institutions = revolving","","-524283.-524283.1051","[Account].[Reporting Hierarchy]","000","D0")</f>
        <v>P164030 - Loans from Financial institutions = revolving</v>
      </c>
      <c r="D77" s="100" t="str">
        <f>_xll.IdPrj.AnalyzerFuncs.AnalyzerOLAPMember("[Partner].[Partner 1].&amp;[0]","","No Partner","","-524279.-524279.0","[Partner]","000","D1")</f>
        <v>No Partner</v>
      </c>
      <c r="E77" s="100">
        <v>12.868</v>
      </c>
      <c r="F77" s="100">
        <v>12.868</v>
      </c>
      <c r="G77" s="100">
        <v>25.728999999999999</v>
      </c>
      <c r="H77" s="100">
        <v>25.728999999999999</v>
      </c>
      <c r="J77" s="102"/>
      <c r="K77" s="102"/>
      <c r="L77" s="102"/>
      <c r="M77" s="102"/>
      <c r="N77" s="102"/>
      <c r="O77" s="102"/>
      <c r="P77" s="102"/>
      <c r="Q77" s="100">
        <v>12.868</v>
      </c>
      <c r="R77" s="100">
        <v>12.868</v>
      </c>
      <c r="S77" s="100">
        <v>25.728999999999999</v>
      </c>
      <c r="T77" s="100">
        <v>25.728999999999999</v>
      </c>
      <c r="U77" s="100">
        <v>25.728999999999999</v>
      </c>
      <c r="V77" s="102">
        <v>25.728999999999999</v>
      </c>
      <c r="W77" s="102">
        <v>25.728999999999999</v>
      </c>
      <c r="X77" s="102">
        <v>25.728999999999999</v>
      </c>
      <c r="Y77" s="102">
        <v>25.728999999999999</v>
      </c>
      <c r="Z77" s="102">
        <v>25.728999999999999</v>
      </c>
      <c r="AA77" s="102">
        <v>25.728999999999999</v>
      </c>
      <c r="AB77" s="102">
        <v>25.728999999999999</v>
      </c>
      <c r="AH77" s="102"/>
      <c r="AI77" s="102"/>
      <c r="AJ77" s="102"/>
      <c r="AK77" s="102"/>
      <c r="AL77" s="102"/>
      <c r="AM77" s="102"/>
      <c r="AN77" s="102"/>
      <c r="AO77" s="100">
        <v>14000</v>
      </c>
      <c r="AP77" s="100">
        <v>14000</v>
      </c>
      <c r="AQ77" s="100">
        <v>14000.333000000001</v>
      </c>
      <c r="AR77" s="100">
        <v>10000.333000000001</v>
      </c>
      <c r="AS77" s="100">
        <v>10001.165999999999</v>
      </c>
      <c r="AT77" s="102">
        <v>10000.333000000001</v>
      </c>
      <c r="AU77" s="102">
        <v>10000.333000000001</v>
      </c>
      <c r="AV77" s="102">
        <v>10000.333000000001</v>
      </c>
      <c r="AW77" s="102">
        <v>10000.333000000001</v>
      </c>
      <c r="AX77" s="102">
        <v>10000.333000000001</v>
      </c>
      <c r="AY77" s="102">
        <v>10000.333000000001</v>
      </c>
      <c r="AZ77" s="102">
        <v>12.868</v>
      </c>
      <c r="BA77" s="102"/>
    </row>
    <row r="78" spans="3:53" s="100" customFormat="1" hidden="1" outlineLevel="1">
      <c r="C78" s="106" t="str">
        <f>_xll.IdPrj.AnalyzerFuncs.AnalyzerOLAPMember("[Account].[Reporting Hierarchy].&amp;[1061]","","P168843 - Accrued interests from Fin Inst : Revolving","","-524283.-524283.1061","[Account].[Reporting Hierarchy]","000","D0")</f>
        <v>P168843 - Accrued interests from Fin Inst : Revolving</v>
      </c>
      <c r="D78" s="100" t="str">
        <f>_xll.IdPrj.AnalyzerFuncs.AnalyzerOLAPMember("[Partner].[Partner 1].&amp;[0]","","No Partner","","-524279.-524279.0","[Partner]","000","D1")</f>
        <v>No Partner</v>
      </c>
      <c r="E78" s="100">
        <v>36.305999999999997</v>
      </c>
      <c r="F78" s="100">
        <v>36.345999999999997</v>
      </c>
      <c r="G78" s="100">
        <v>23.516999999999999</v>
      </c>
      <c r="H78" s="100">
        <v>23.597000000000001</v>
      </c>
      <c r="J78" s="102"/>
      <c r="K78" s="102"/>
      <c r="L78" s="102"/>
      <c r="M78" s="102"/>
      <c r="N78" s="102"/>
      <c r="O78" s="102"/>
      <c r="P78" s="102"/>
      <c r="Q78" s="100">
        <v>36.305999999999997</v>
      </c>
      <c r="R78" s="100">
        <v>36.345999999999997</v>
      </c>
      <c r="S78" s="100">
        <v>23.516999999999999</v>
      </c>
      <c r="T78" s="100">
        <v>15.824</v>
      </c>
      <c r="U78" s="100">
        <v>15.824</v>
      </c>
      <c r="V78" s="102">
        <v>15.824</v>
      </c>
      <c r="W78" s="102">
        <v>15.824</v>
      </c>
      <c r="X78" s="102">
        <v>15.824</v>
      </c>
      <c r="Y78" s="102">
        <v>15.824</v>
      </c>
      <c r="Z78" s="102">
        <v>15.824</v>
      </c>
      <c r="AA78" s="102">
        <v>15.824</v>
      </c>
      <c r="AB78" s="102">
        <v>15.824</v>
      </c>
      <c r="AH78" s="102"/>
      <c r="AI78" s="102"/>
      <c r="AJ78" s="102"/>
      <c r="AK78" s="102"/>
      <c r="AL78" s="102"/>
      <c r="AM78" s="102"/>
      <c r="AN78" s="102"/>
      <c r="AO78" s="100">
        <v>140.565</v>
      </c>
      <c r="AP78" s="100">
        <v>162.30699999999999</v>
      </c>
      <c r="AQ78" s="100">
        <v>255.821</v>
      </c>
      <c r="AR78" s="100">
        <v>162.042</v>
      </c>
      <c r="AS78" s="100">
        <v>36.156999999999996</v>
      </c>
      <c r="AT78" s="102">
        <v>71.22</v>
      </c>
      <c r="AU78" s="102">
        <v>107.458</v>
      </c>
      <c r="AV78" s="102">
        <v>143.69399999999999</v>
      </c>
      <c r="AW78" s="102">
        <v>155.52799999999999</v>
      </c>
      <c r="AX78" s="102">
        <v>213.96299999999999</v>
      </c>
      <c r="AY78" s="102">
        <v>47.204999999999998</v>
      </c>
      <c r="AZ78" s="102">
        <v>36.264000000000003</v>
      </c>
      <c r="BA78" s="102"/>
    </row>
    <row r="79" spans="3:53" s="13" customFormat="1" ht="15.75" hidden="1" outlineLevel="1">
      <c r="C79" s="101" t="s">
        <v>53</v>
      </c>
      <c r="E79" s="13">
        <f t="shared" ref="E79:AN79" si="67">+SUM(E77:E78)</f>
        <v>49.173999999999999</v>
      </c>
      <c r="F79" s="13">
        <f t="shared" si="67"/>
        <v>49.213999999999999</v>
      </c>
      <c r="G79" s="13">
        <f t="shared" si="67"/>
        <v>49.245999999999995</v>
      </c>
      <c r="H79" s="13">
        <f t="shared" si="67"/>
        <v>49.326000000000001</v>
      </c>
      <c r="I79" s="13">
        <f t="shared" si="67"/>
        <v>0</v>
      </c>
      <c r="J79" s="104">
        <f t="shared" si="67"/>
        <v>0</v>
      </c>
      <c r="K79" s="104">
        <f t="shared" si="67"/>
        <v>0</v>
      </c>
      <c r="L79" s="104">
        <f t="shared" si="67"/>
        <v>0</v>
      </c>
      <c r="M79" s="104">
        <f t="shared" si="67"/>
        <v>0</v>
      </c>
      <c r="N79" s="104">
        <f t="shared" si="67"/>
        <v>0</v>
      </c>
      <c r="O79" s="104">
        <f t="shared" si="67"/>
        <v>0</v>
      </c>
      <c r="P79" s="104">
        <f t="shared" si="67"/>
        <v>0</v>
      </c>
      <c r="Q79" s="13">
        <f t="shared" ref="Q79:AB79" si="68">+SUM(Q77:Q78)</f>
        <v>49.173999999999999</v>
      </c>
      <c r="R79" s="13">
        <f t="shared" si="68"/>
        <v>49.213999999999999</v>
      </c>
      <c r="S79" s="13">
        <f t="shared" si="68"/>
        <v>49.245999999999995</v>
      </c>
      <c r="T79" s="13">
        <f t="shared" si="68"/>
        <v>41.552999999999997</v>
      </c>
      <c r="U79" s="13">
        <f t="shared" si="68"/>
        <v>41.552999999999997</v>
      </c>
      <c r="V79" s="104">
        <f t="shared" si="68"/>
        <v>41.552999999999997</v>
      </c>
      <c r="W79" s="104">
        <f t="shared" si="68"/>
        <v>41.552999999999997</v>
      </c>
      <c r="X79" s="104">
        <f t="shared" si="68"/>
        <v>41.552999999999997</v>
      </c>
      <c r="Y79" s="104">
        <f t="shared" si="68"/>
        <v>41.552999999999997</v>
      </c>
      <c r="Z79" s="104">
        <f t="shared" si="68"/>
        <v>41.552999999999997</v>
      </c>
      <c r="AA79" s="104">
        <f t="shared" si="68"/>
        <v>41.552999999999997</v>
      </c>
      <c r="AB79" s="104">
        <f t="shared" si="68"/>
        <v>41.552999999999997</v>
      </c>
      <c r="AC79" s="13">
        <f t="shared" si="67"/>
        <v>0</v>
      </c>
      <c r="AD79" s="13">
        <f t="shared" si="67"/>
        <v>0</v>
      </c>
      <c r="AE79" s="13">
        <f t="shared" si="67"/>
        <v>0</v>
      </c>
      <c r="AF79" s="13">
        <f t="shared" si="67"/>
        <v>0</v>
      </c>
      <c r="AG79" s="13">
        <f t="shared" si="67"/>
        <v>0</v>
      </c>
      <c r="AH79" s="104">
        <f t="shared" si="67"/>
        <v>0</v>
      </c>
      <c r="AI79" s="104">
        <f t="shared" si="67"/>
        <v>0</v>
      </c>
      <c r="AJ79" s="104">
        <f t="shared" si="67"/>
        <v>0</v>
      </c>
      <c r="AK79" s="104">
        <f t="shared" si="67"/>
        <v>0</v>
      </c>
      <c r="AL79" s="104">
        <f t="shared" si="67"/>
        <v>0</v>
      </c>
      <c r="AM79" s="104">
        <f t="shared" si="67"/>
        <v>0</v>
      </c>
      <c r="AN79" s="104">
        <f t="shared" si="67"/>
        <v>0</v>
      </c>
      <c r="AO79" s="13">
        <f t="shared" ref="AO79:BA79" si="69">+SUM(AO77:AO78)</f>
        <v>14140.565000000001</v>
      </c>
      <c r="AP79" s="13">
        <f t="shared" si="69"/>
        <v>14162.307000000001</v>
      </c>
      <c r="AQ79" s="13">
        <f t="shared" si="69"/>
        <v>14256.154</v>
      </c>
      <c r="AR79" s="13">
        <f t="shared" si="69"/>
        <v>10162.375</v>
      </c>
      <c r="AS79" s="13">
        <f t="shared" si="69"/>
        <v>10037.322999999999</v>
      </c>
      <c r="AT79" s="104">
        <f t="shared" si="69"/>
        <v>10071.553</v>
      </c>
      <c r="AU79" s="104">
        <f t="shared" si="69"/>
        <v>10107.791000000001</v>
      </c>
      <c r="AV79" s="104">
        <f t="shared" si="69"/>
        <v>10144.027</v>
      </c>
      <c r="AW79" s="104">
        <f t="shared" si="69"/>
        <v>10155.861000000001</v>
      </c>
      <c r="AX79" s="104">
        <f t="shared" si="69"/>
        <v>10214.296</v>
      </c>
      <c r="AY79" s="104">
        <f t="shared" si="69"/>
        <v>10047.538</v>
      </c>
      <c r="AZ79" s="104">
        <f t="shared" si="69"/>
        <v>49.132000000000005</v>
      </c>
      <c r="BA79" s="104">
        <f t="shared" si="69"/>
        <v>0</v>
      </c>
    </row>
    <row r="80" spans="3:53" s="100" customFormat="1" hidden="1" outlineLevel="1">
      <c r="J80" s="102"/>
      <c r="K80" s="102"/>
      <c r="L80" s="102"/>
      <c r="M80" s="102"/>
      <c r="N80" s="102"/>
      <c r="O80" s="102"/>
      <c r="P80" s="102"/>
      <c r="V80" s="102"/>
      <c r="W80" s="102"/>
      <c r="X80" s="102"/>
      <c r="Y80" s="102"/>
      <c r="Z80" s="102"/>
      <c r="AA80" s="102"/>
      <c r="AB80" s="102"/>
      <c r="AH80" s="102"/>
      <c r="AI80" s="102"/>
      <c r="AJ80" s="102"/>
      <c r="AK80" s="102"/>
      <c r="AL80" s="102"/>
      <c r="AM80" s="102"/>
      <c r="AN80" s="102"/>
      <c r="AT80" s="102"/>
      <c r="AU80" s="102"/>
      <c r="AV80" s="102"/>
      <c r="AW80" s="102"/>
      <c r="AX80" s="102"/>
      <c r="AY80" s="102"/>
      <c r="AZ80" s="102"/>
      <c r="BA80" s="102"/>
    </row>
    <row r="81" spans="3:53" s="100" customFormat="1" hidden="1" outlineLevel="1">
      <c r="J81" s="102"/>
      <c r="K81" s="102"/>
      <c r="L81" s="102"/>
      <c r="M81" s="102"/>
      <c r="N81" s="102"/>
      <c r="O81" s="102"/>
      <c r="P81" s="102"/>
      <c r="V81" s="102"/>
      <c r="W81" s="102"/>
      <c r="X81" s="102"/>
      <c r="Y81" s="102"/>
      <c r="Z81" s="102"/>
      <c r="AA81" s="102"/>
      <c r="AB81" s="102"/>
      <c r="AH81" s="102"/>
      <c r="AI81" s="102"/>
      <c r="AJ81" s="102"/>
      <c r="AK81" s="102"/>
      <c r="AL81" s="102"/>
      <c r="AM81" s="102"/>
      <c r="AN81" s="102"/>
      <c r="AT81" s="102"/>
      <c r="AU81" s="102"/>
      <c r="AV81" s="102"/>
      <c r="AW81" s="102"/>
      <c r="AX81" s="102"/>
      <c r="AY81" s="102"/>
      <c r="AZ81" s="102"/>
      <c r="BA81" s="102"/>
    </row>
    <row r="82" spans="3:53" s="100" customFormat="1" hidden="1" outlineLevel="1">
      <c r="J82" s="102"/>
      <c r="K82" s="102"/>
      <c r="L82" s="102"/>
      <c r="M82" s="102"/>
      <c r="N82" s="102"/>
      <c r="O82" s="102"/>
      <c r="P82" s="102"/>
      <c r="V82" s="102"/>
      <c r="W82" s="102"/>
      <c r="X82" s="102"/>
      <c r="Y82" s="102"/>
      <c r="Z82" s="102"/>
      <c r="AA82" s="102"/>
      <c r="AB82" s="102"/>
      <c r="AH82" s="102"/>
      <c r="AI82" s="102"/>
      <c r="AJ82" s="102"/>
      <c r="AK82" s="102"/>
      <c r="AL82" s="102"/>
      <c r="AM82" s="102"/>
      <c r="AN82" s="102"/>
      <c r="AT82" s="102"/>
      <c r="AU82" s="102"/>
      <c r="AV82" s="102"/>
      <c r="AW82" s="102"/>
      <c r="AX82" s="102"/>
      <c r="AY82" s="102"/>
      <c r="AZ82" s="102"/>
      <c r="BA82" s="102"/>
    </row>
    <row r="83" spans="3:53" s="100" customFormat="1" hidden="1" outlineLevel="1">
      <c r="C83" s="106" t="str">
        <f>_xll.IdPrj.AnalyzerFuncs.AnalyzerOLAPMember("[Account].[Reporting Hierarchy].&amp;[1056]","","P164500 - Lease financial Debt Hire purchase","","-524283.-524283.1056","[Account].[Reporting Hierarchy]","000","D0")</f>
        <v>P164500 - Lease financial Debt Hire purchase</v>
      </c>
      <c r="D83" s="100" t="str">
        <f>_xll.IdPrj.AnalyzerFuncs.AnalyzerOLAPMember("[Partner].[Partner 1].&amp;[0]","","No Partner","","-524279.-524279.0","[Partner]","000","D1")</f>
        <v>No Partner</v>
      </c>
      <c r="E83" s="100">
        <v>2826.5010000000002</v>
      </c>
      <c r="F83" s="100">
        <v>2797.2779999999998</v>
      </c>
      <c r="G83" s="100">
        <v>2766.4920000000002</v>
      </c>
      <c r="H83" s="100">
        <v>2692.4189999999999</v>
      </c>
      <c r="J83" s="102"/>
      <c r="K83" s="102"/>
      <c r="L83" s="102"/>
      <c r="M83" s="102"/>
      <c r="N83" s="102"/>
      <c r="O83" s="102"/>
      <c r="P83" s="102"/>
      <c r="Q83" s="100">
        <v>2826.5010000000002</v>
      </c>
      <c r="R83" s="100">
        <v>2797.2779999999998</v>
      </c>
      <c r="S83" s="100">
        <v>2766.4920000000002</v>
      </c>
      <c r="T83" s="100">
        <v>2689.6669999999999</v>
      </c>
      <c r="U83" s="100">
        <v>2659.7759999999998</v>
      </c>
      <c r="V83" s="102">
        <v>2629.6550000000002</v>
      </c>
      <c r="W83" s="102">
        <v>2815.616</v>
      </c>
      <c r="X83" s="102">
        <v>2776.1309999999999</v>
      </c>
      <c r="Y83" s="102">
        <v>2736.4720000000002</v>
      </c>
      <c r="Z83" s="102">
        <v>2651.8919999999998</v>
      </c>
      <c r="AA83" s="102">
        <v>2611.877</v>
      </c>
      <c r="AB83" s="102">
        <v>2571.6849999999999</v>
      </c>
      <c r="AC83" s="100">
        <v>2200.2330000000002</v>
      </c>
      <c r="AD83" s="100">
        <v>2184.5120000000002</v>
      </c>
      <c r="AE83" s="100">
        <v>2168.7570000000001</v>
      </c>
      <c r="AF83" s="100">
        <v>2070.1799999999998</v>
      </c>
      <c r="AG83" s="100">
        <v>2054.36</v>
      </c>
      <c r="AH83" s="102">
        <v>2038.5070000000001</v>
      </c>
      <c r="AI83" s="102">
        <v>1939.184</v>
      </c>
      <c r="AJ83" s="102">
        <v>1923.2650000000001</v>
      </c>
      <c r="AK83" s="102">
        <v>1907.3140000000001</v>
      </c>
      <c r="AL83" s="102">
        <v>1807.2380000000001</v>
      </c>
      <c r="AM83" s="102">
        <v>1791.22</v>
      </c>
      <c r="AN83" s="102">
        <v>1775.1690000000001</v>
      </c>
      <c r="AO83" s="100">
        <v>2731.7750000000001</v>
      </c>
      <c r="AP83" s="100">
        <v>2715.8389999999999</v>
      </c>
      <c r="AQ83" s="100">
        <v>2653.221</v>
      </c>
      <c r="AR83" s="100">
        <v>2595.4180000000001</v>
      </c>
      <c r="AS83" s="100">
        <v>2579.3560000000002</v>
      </c>
      <c r="AT83" s="102">
        <v>2563.2570000000001</v>
      </c>
      <c r="AU83" s="102">
        <v>2466.2359999999999</v>
      </c>
      <c r="AV83" s="102">
        <v>2450.0659999999998</v>
      </c>
      <c r="AW83" s="102">
        <v>2433.86</v>
      </c>
      <c r="AX83" s="102">
        <v>2336.1010000000001</v>
      </c>
      <c r="AY83" s="102">
        <v>2928.8539999999998</v>
      </c>
      <c r="AZ83" s="102">
        <v>2899.404</v>
      </c>
      <c r="BA83" s="102">
        <v>2303.5050000000001</v>
      </c>
    </row>
    <row r="84" spans="3:53" s="13" customFormat="1" ht="15.75" hidden="1" outlineLevel="1">
      <c r="C84" s="101" t="s">
        <v>52</v>
      </c>
      <c r="E84" s="13">
        <f t="shared" ref="E84:AN84" si="70">+E83</f>
        <v>2826.5010000000002</v>
      </c>
      <c r="F84" s="13">
        <f t="shared" si="70"/>
        <v>2797.2779999999998</v>
      </c>
      <c r="G84" s="13">
        <f t="shared" si="70"/>
        <v>2766.4920000000002</v>
      </c>
      <c r="H84" s="13">
        <f t="shared" si="70"/>
        <v>2692.4189999999999</v>
      </c>
      <c r="I84" s="13">
        <f t="shared" si="70"/>
        <v>0</v>
      </c>
      <c r="J84" s="104">
        <f t="shared" si="70"/>
        <v>0</v>
      </c>
      <c r="K84" s="104">
        <f t="shared" si="70"/>
        <v>0</v>
      </c>
      <c r="L84" s="104">
        <f t="shared" si="70"/>
        <v>0</v>
      </c>
      <c r="M84" s="104">
        <f t="shared" si="70"/>
        <v>0</v>
      </c>
      <c r="N84" s="104">
        <f t="shared" si="70"/>
        <v>0</v>
      </c>
      <c r="O84" s="104">
        <f t="shared" si="70"/>
        <v>0</v>
      </c>
      <c r="P84" s="104">
        <f t="shared" si="70"/>
        <v>0</v>
      </c>
      <c r="Q84" s="13">
        <f t="shared" ref="Q84:AB84" si="71">+Q83</f>
        <v>2826.5010000000002</v>
      </c>
      <c r="R84" s="13">
        <f t="shared" si="71"/>
        <v>2797.2779999999998</v>
      </c>
      <c r="S84" s="13">
        <f t="shared" si="71"/>
        <v>2766.4920000000002</v>
      </c>
      <c r="T84" s="13">
        <f t="shared" si="71"/>
        <v>2689.6669999999999</v>
      </c>
      <c r="U84" s="13">
        <f t="shared" si="71"/>
        <v>2659.7759999999998</v>
      </c>
      <c r="V84" s="104">
        <f t="shared" si="71"/>
        <v>2629.6550000000002</v>
      </c>
      <c r="W84" s="104">
        <f t="shared" si="71"/>
        <v>2815.616</v>
      </c>
      <c r="X84" s="104">
        <f t="shared" si="71"/>
        <v>2776.1309999999999</v>
      </c>
      <c r="Y84" s="104">
        <f t="shared" si="71"/>
        <v>2736.4720000000002</v>
      </c>
      <c r="Z84" s="104">
        <f t="shared" si="71"/>
        <v>2651.8919999999998</v>
      </c>
      <c r="AA84" s="104">
        <f t="shared" si="71"/>
        <v>2611.877</v>
      </c>
      <c r="AB84" s="104">
        <f t="shared" si="71"/>
        <v>2571.6849999999999</v>
      </c>
      <c r="AC84" s="13">
        <f t="shared" si="70"/>
        <v>2200.2330000000002</v>
      </c>
      <c r="AD84" s="13">
        <f t="shared" si="70"/>
        <v>2184.5120000000002</v>
      </c>
      <c r="AE84" s="13">
        <f t="shared" si="70"/>
        <v>2168.7570000000001</v>
      </c>
      <c r="AF84" s="13">
        <f t="shared" si="70"/>
        <v>2070.1799999999998</v>
      </c>
      <c r="AG84" s="13">
        <f t="shared" si="70"/>
        <v>2054.36</v>
      </c>
      <c r="AH84" s="104">
        <f t="shared" si="70"/>
        <v>2038.5070000000001</v>
      </c>
      <c r="AI84" s="104">
        <f t="shared" si="70"/>
        <v>1939.184</v>
      </c>
      <c r="AJ84" s="104">
        <f t="shared" si="70"/>
        <v>1923.2650000000001</v>
      </c>
      <c r="AK84" s="104">
        <f t="shared" si="70"/>
        <v>1907.3140000000001</v>
      </c>
      <c r="AL84" s="104">
        <f t="shared" si="70"/>
        <v>1807.2380000000001</v>
      </c>
      <c r="AM84" s="104">
        <f t="shared" si="70"/>
        <v>1791.22</v>
      </c>
      <c r="AN84" s="104">
        <f t="shared" si="70"/>
        <v>1775.1690000000001</v>
      </c>
      <c r="AO84" s="13">
        <f t="shared" ref="AO84:BA84" si="72">+AO83</f>
        <v>2731.7750000000001</v>
      </c>
      <c r="AP84" s="13">
        <f t="shared" si="72"/>
        <v>2715.8389999999999</v>
      </c>
      <c r="AQ84" s="13">
        <f t="shared" si="72"/>
        <v>2653.221</v>
      </c>
      <c r="AR84" s="13">
        <f t="shared" si="72"/>
        <v>2595.4180000000001</v>
      </c>
      <c r="AS84" s="13">
        <f t="shared" si="72"/>
        <v>2579.3560000000002</v>
      </c>
      <c r="AT84" s="104">
        <f t="shared" si="72"/>
        <v>2563.2570000000001</v>
      </c>
      <c r="AU84" s="104">
        <f t="shared" si="72"/>
        <v>2466.2359999999999</v>
      </c>
      <c r="AV84" s="104">
        <f t="shared" si="72"/>
        <v>2450.0659999999998</v>
      </c>
      <c r="AW84" s="104">
        <f t="shared" si="72"/>
        <v>2433.86</v>
      </c>
      <c r="AX84" s="104">
        <f t="shared" si="72"/>
        <v>2336.1010000000001</v>
      </c>
      <c r="AY84" s="104">
        <f t="shared" si="72"/>
        <v>2928.8539999999998</v>
      </c>
      <c r="AZ84" s="104">
        <f t="shared" si="72"/>
        <v>2899.404</v>
      </c>
      <c r="BA84" s="104">
        <f t="shared" si="72"/>
        <v>2303.5050000000001</v>
      </c>
    </row>
    <row r="85" spans="3:53" s="100" customFormat="1" hidden="1" outlineLevel="1">
      <c r="J85" s="102"/>
      <c r="K85" s="102"/>
      <c r="L85" s="102"/>
      <c r="M85" s="102"/>
      <c r="N85" s="102"/>
      <c r="O85" s="102"/>
      <c r="P85" s="102"/>
      <c r="V85" s="102"/>
      <c r="W85" s="102"/>
      <c r="X85" s="102"/>
      <c r="Y85" s="102"/>
      <c r="Z85" s="102"/>
      <c r="AA85" s="102"/>
      <c r="AB85" s="102"/>
      <c r="AH85" s="102"/>
      <c r="AI85" s="102"/>
      <c r="AJ85" s="102"/>
      <c r="AK85" s="102"/>
      <c r="AL85" s="102"/>
      <c r="AM85" s="102"/>
      <c r="AN85" s="102"/>
      <c r="AT85" s="102"/>
      <c r="AU85" s="102"/>
      <c r="AV85" s="102"/>
      <c r="AW85" s="102"/>
      <c r="AX85" s="102"/>
      <c r="AY85" s="102"/>
      <c r="AZ85" s="102"/>
      <c r="BA85" s="102"/>
    </row>
    <row r="86" spans="3:53" s="100" customFormat="1" hidden="1" outlineLevel="1">
      <c r="J86" s="102"/>
      <c r="K86" s="102"/>
      <c r="L86" s="102"/>
      <c r="M86" s="102"/>
      <c r="N86" s="102"/>
      <c r="O86" s="102"/>
      <c r="P86" s="102"/>
      <c r="V86" s="102"/>
      <c r="W86" s="102"/>
      <c r="X86" s="102"/>
      <c r="Y86" s="102"/>
      <c r="Z86" s="102"/>
      <c r="AA86" s="102"/>
      <c r="AB86" s="102"/>
      <c r="AH86" s="102"/>
      <c r="AI86" s="102"/>
      <c r="AJ86" s="102"/>
      <c r="AK86" s="102"/>
      <c r="AL86" s="102"/>
      <c r="AM86" s="102"/>
      <c r="AN86" s="102"/>
      <c r="AT86" s="102"/>
      <c r="AU86" s="102"/>
      <c r="AV86" s="102"/>
      <c r="AW86" s="102"/>
      <c r="AX86" s="102"/>
      <c r="AY86" s="102"/>
      <c r="AZ86" s="102"/>
      <c r="BA86" s="102"/>
    </row>
    <row r="87" spans="3:53" s="100" customFormat="1" hidden="1" outlineLevel="1">
      <c r="J87" s="102"/>
      <c r="K87" s="102"/>
      <c r="L87" s="102"/>
      <c r="M87" s="102"/>
      <c r="N87" s="102"/>
      <c r="O87" s="102"/>
      <c r="P87" s="102"/>
      <c r="V87" s="102"/>
      <c r="W87" s="102"/>
      <c r="X87" s="102"/>
      <c r="Y87" s="102"/>
      <c r="Z87" s="102"/>
      <c r="AA87" s="102"/>
      <c r="AB87" s="102"/>
      <c r="AH87" s="102"/>
      <c r="AI87" s="102"/>
      <c r="AJ87" s="102"/>
      <c r="AK87" s="102"/>
      <c r="AL87" s="102"/>
      <c r="AM87" s="102"/>
      <c r="AN87" s="102"/>
      <c r="AT87" s="102"/>
      <c r="AU87" s="102"/>
      <c r="AV87" s="102"/>
      <c r="AW87" s="102"/>
      <c r="AX87" s="102"/>
      <c r="AY87" s="102"/>
      <c r="AZ87" s="102"/>
      <c r="BA87" s="102"/>
    </row>
    <row r="88" spans="3:53" s="100" customFormat="1" hidden="1" outlineLevel="1">
      <c r="C88" s="105" t="str">
        <f>_xll.IdPrj.AnalyzerFuncs.AnalyzerOLAPMember("[Account].[Reporting Hierarchy].&amp;[1068]","","BS9200 - BS_Asset Treasury","","-524283.-524283.1068","[Account].[Reporting Hierarchy]","000","D0")</f>
        <v>BS9200 - BS_Asset Treasury</v>
      </c>
      <c r="D88" s="100" t="str">
        <f>_xll.IdPrj.AnalyzerFuncs.AnalyzerOLAPMember("[Partner].[Partner 1].&amp;[0]","","No Partner","","-524279.-524279.0","[Partner]","000","D1")</f>
        <v>No Partner</v>
      </c>
      <c r="E88" s="100">
        <v>243.57300000000001</v>
      </c>
      <c r="F88" s="100">
        <v>-2827.1419999999998</v>
      </c>
      <c r="G88" s="100">
        <v>-3832.5210000000002</v>
      </c>
      <c r="H88" s="100">
        <v>-2663.7959999999998</v>
      </c>
      <c r="J88" s="102"/>
      <c r="K88" s="102"/>
      <c r="L88" s="102"/>
      <c r="M88" s="102"/>
      <c r="N88" s="102"/>
      <c r="O88" s="102"/>
      <c r="P88" s="102"/>
      <c r="Q88" s="100">
        <v>243.57300000000001</v>
      </c>
      <c r="R88" s="100">
        <v>-2827.1419999999998</v>
      </c>
      <c r="S88" s="100">
        <v>-3832.5210000000002</v>
      </c>
      <c r="T88" s="100">
        <v>-4265.0479999999998</v>
      </c>
      <c r="U88" s="100">
        <v>-3743.0509999999999</v>
      </c>
      <c r="V88" s="102">
        <v>-6236.9809999999998</v>
      </c>
      <c r="W88" s="102">
        <v>-9992.1509999999998</v>
      </c>
      <c r="X88" s="102">
        <v>-8362.5</v>
      </c>
      <c r="Y88" s="102">
        <v>-12273.48</v>
      </c>
      <c r="Z88" s="102">
        <v>-16917.773000000001</v>
      </c>
      <c r="AA88" s="102">
        <v>-16227.116</v>
      </c>
      <c r="AB88" s="102">
        <v>-16337.717000000001</v>
      </c>
      <c r="AC88" s="100">
        <v>-3483.261</v>
      </c>
      <c r="AD88" s="100">
        <v>-7230.6220000000003</v>
      </c>
      <c r="AE88" s="100">
        <v>-6555.2330000000002</v>
      </c>
      <c r="AF88" s="100">
        <v>-4781.6819999999998</v>
      </c>
      <c r="AG88" s="100">
        <v>-3541.7109999999998</v>
      </c>
      <c r="AH88" s="102">
        <v>-4901.8879999999999</v>
      </c>
      <c r="AI88" s="102">
        <v>-8797.741</v>
      </c>
      <c r="AJ88" s="102">
        <v>-4626.4399999999996</v>
      </c>
      <c r="AK88" s="102">
        <v>-8548.1029999999992</v>
      </c>
      <c r="AL88" s="102">
        <v>-12636.487999999999</v>
      </c>
      <c r="AM88" s="102">
        <v>-11196.107</v>
      </c>
      <c r="AN88" s="102">
        <v>-10788.223</v>
      </c>
      <c r="AO88" s="100">
        <v>-5123.9319999999998</v>
      </c>
      <c r="AP88" s="100">
        <v>-8099.433</v>
      </c>
      <c r="AQ88" s="100">
        <v>-18225.797999999999</v>
      </c>
      <c r="AR88" s="100">
        <v>-8649.11</v>
      </c>
      <c r="AS88" s="100">
        <v>-3582.9879999999998</v>
      </c>
      <c r="AT88" s="102">
        <v>-18756.526000000002</v>
      </c>
      <c r="AU88" s="102">
        <v>-7013.3249999999998</v>
      </c>
      <c r="AV88" s="102">
        <v>-2150.7379999999998</v>
      </c>
      <c r="AW88" s="102">
        <v>-3936.819</v>
      </c>
      <c r="AX88" s="102">
        <v>3011.8629999999998</v>
      </c>
      <c r="AY88" s="102">
        <v>2660.3580000000002</v>
      </c>
      <c r="AZ88" s="102">
        <v>-5093.1099999999997</v>
      </c>
      <c r="BA88" s="102">
        <v>-2565.462</v>
      </c>
    </row>
    <row r="89" spans="3:53" s="100" customFormat="1" hidden="1" outlineLevel="1">
      <c r="C89" s="105" t="str">
        <f>_xll.IdPrj.AnalyzerFuncs.AnalyzerOLAPMember("[Account].[Reporting Hierarchy].&amp;[1074]","","BS9210 - BS_Liquidity FACTO. RESTATEMENT","","-524283.-524283.1074","[Account].[Reporting Hierarchy]","000","D0")</f>
        <v>BS9210 - BS_Liquidity FACTO. RESTATEMENT</v>
      </c>
      <c r="D89" s="100" t="str">
        <f>_xll.IdPrj.AnalyzerFuncs.AnalyzerOLAPMember("[Partner].[Partner 1].&amp;[0]","","No Partner","","-524279.-524279.0","[Partner]","000","D1")</f>
        <v>No Partner</v>
      </c>
      <c r="J89" s="102"/>
      <c r="K89" s="102"/>
      <c r="L89" s="102"/>
      <c r="M89" s="102"/>
      <c r="N89" s="102"/>
      <c r="O89" s="102"/>
      <c r="P89" s="102"/>
      <c r="V89" s="102"/>
      <c r="W89" s="102"/>
      <c r="X89" s="102"/>
      <c r="Y89" s="102"/>
      <c r="Z89" s="102"/>
      <c r="AA89" s="102"/>
      <c r="AB89" s="102"/>
      <c r="AH89" s="102"/>
      <c r="AI89" s="102"/>
      <c r="AJ89" s="102"/>
      <c r="AK89" s="102"/>
      <c r="AL89" s="102"/>
      <c r="AM89" s="102"/>
      <c r="AN89" s="102"/>
      <c r="AT89" s="102"/>
      <c r="AU89" s="102"/>
      <c r="AV89" s="102"/>
      <c r="AW89" s="102"/>
      <c r="AX89" s="102"/>
      <c r="AY89" s="102"/>
      <c r="AZ89" s="102"/>
      <c r="BA89" s="102"/>
    </row>
    <row r="90" spans="3:53" s="13" customFormat="1" ht="15.75" hidden="1" outlineLevel="1">
      <c r="C90" s="101" t="s">
        <v>51</v>
      </c>
      <c r="E90" s="13">
        <f t="shared" ref="E90:AN90" si="73">SUM(E88:E89)</f>
        <v>243.57300000000001</v>
      </c>
      <c r="F90" s="13">
        <f t="shared" si="73"/>
        <v>-2827.1419999999998</v>
      </c>
      <c r="G90" s="13">
        <f t="shared" si="73"/>
        <v>-3832.5210000000002</v>
      </c>
      <c r="H90" s="13">
        <f t="shared" si="73"/>
        <v>-2663.7959999999998</v>
      </c>
      <c r="I90" s="13">
        <f t="shared" si="73"/>
        <v>0</v>
      </c>
      <c r="J90" s="104">
        <f t="shared" si="73"/>
        <v>0</v>
      </c>
      <c r="K90" s="104">
        <f t="shared" si="73"/>
        <v>0</v>
      </c>
      <c r="L90" s="104">
        <f t="shared" si="73"/>
        <v>0</v>
      </c>
      <c r="M90" s="104">
        <f t="shared" si="73"/>
        <v>0</v>
      </c>
      <c r="N90" s="104">
        <f t="shared" si="73"/>
        <v>0</v>
      </c>
      <c r="O90" s="104">
        <f t="shared" si="73"/>
        <v>0</v>
      </c>
      <c r="P90" s="104">
        <f t="shared" si="73"/>
        <v>0</v>
      </c>
      <c r="Q90" s="13">
        <f t="shared" ref="Q90:AB90" si="74">SUM(Q88:Q89)</f>
        <v>243.57300000000001</v>
      </c>
      <c r="R90" s="13">
        <f t="shared" si="74"/>
        <v>-2827.1419999999998</v>
      </c>
      <c r="S90" s="13">
        <f t="shared" si="74"/>
        <v>-3832.5210000000002</v>
      </c>
      <c r="T90" s="13">
        <f t="shared" si="74"/>
        <v>-4265.0479999999998</v>
      </c>
      <c r="U90" s="13">
        <f t="shared" si="74"/>
        <v>-3743.0509999999999</v>
      </c>
      <c r="V90" s="104">
        <f t="shared" si="74"/>
        <v>-6236.9809999999998</v>
      </c>
      <c r="W90" s="104">
        <f t="shared" si="74"/>
        <v>-9992.1509999999998</v>
      </c>
      <c r="X90" s="104">
        <f t="shared" si="74"/>
        <v>-8362.5</v>
      </c>
      <c r="Y90" s="104">
        <f t="shared" si="74"/>
        <v>-12273.48</v>
      </c>
      <c r="Z90" s="104">
        <f t="shared" si="74"/>
        <v>-16917.773000000001</v>
      </c>
      <c r="AA90" s="104">
        <f t="shared" si="74"/>
        <v>-16227.116</v>
      </c>
      <c r="AB90" s="104">
        <f t="shared" si="74"/>
        <v>-16337.717000000001</v>
      </c>
      <c r="AC90" s="13">
        <f t="shared" si="73"/>
        <v>-3483.261</v>
      </c>
      <c r="AD90" s="13">
        <f t="shared" si="73"/>
        <v>-7230.6220000000003</v>
      </c>
      <c r="AE90" s="13">
        <f t="shared" si="73"/>
        <v>-6555.2330000000002</v>
      </c>
      <c r="AF90" s="13">
        <f t="shared" si="73"/>
        <v>-4781.6819999999998</v>
      </c>
      <c r="AG90" s="13">
        <f t="shared" si="73"/>
        <v>-3541.7109999999998</v>
      </c>
      <c r="AH90" s="104">
        <f t="shared" si="73"/>
        <v>-4901.8879999999999</v>
      </c>
      <c r="AI90" s="104">
        <f t="shared" si="73"/>
        <v>-8797.741</v>
      </c>
      <c r="AJ90" s="104">
        <f t="shared" si="73"/>
        <v>-4626.4399999999996</v>
      </c>
      <c r="AK90" s="104">
        <f t="shared" si="73"/>
        <v>-8548.1029999999992</v>
      </c>
      <c r="AL90" s="104">
        <f t="shared" si="73"/>
        <v>-12636.487999999999</v>
      </c>
      <c r="AM90" s="104">
        <f t="shared" si="73"/>
        <v>-11196.107</v>
      </c>
      <c r="AN90" s="104">
        <f t="shared" si="73"/>
        <v>-10788.223</v>
      </c>
      <c r="AO90" s="13">
        <f t="shared" ref="AO90:BA90" si="75">SUM(AO88:AO89)</f>
        <v>-5123.9319999999998</v>
      </c>
      <c r="AP90" s="13">
        <f t="shared" si="75"/>
        <v>-8099.433</v>
      </c>
      <c r="AQ90" s="13">
        <f t="shared" si="75"/>
        <v>-18225.797999999999</v>
      </c>
      <c r="AR90" s="13">
        <f t="shared" si="75"/>
        <v>-8649.11</v>
      </c>
      <c r="AS90" s="13">
        <f t="shared" si="75"/>
        <v>-3582.9879999999998</v>
      </c>
      <c r="AT90" s="104">
        <f t="shared" si="75"/>
        <v>-18756.526000000002</v>
      </c>
      <c r="AU90" s="104">
        <f t="shared" si="75"/>
        <v>-7013.3249999999998</v>
      </c>
      <c r="AV90" s="104">
        <f t="shared" si="75"/>
        <v>-2150.7379999999998</v>
      </c>
      <c r="AW90" s="104">
        <f t="shared" si="75"/>
        <v>-3936.819</v>
      </c>
      <c r="AX90" s="104">
        <f t="shared" si="75"/>
        <v>3011.8629999999998</v>
      </c>
      <c r="AY90" s="104">
        <f t="shared" si="75"/>
        <v>2660.3580000000002</v>
      </c>
      <c r="AZ90" s="104">
        <f t="shared" si="75"/>
        <v>-5093.1099999999997</v>
      </c>
      <c r="BA90" s="104">
        <f t="shared" si="75"/>
        <v>-2565.462</v>
      </c>
    </row>
    <row r="91" spans="3:53" s="100" customFormat="1" ht="15.75" hidden="1" outlineLevel="1">
      <c r="C91" s="101"/>
      <c r="J91" s="102"/>
      <c r="K91" s="102"/>
      <c r="L91" s="102"/>
      <c r="M91" s="102"/>
      <c r="N91" s="102"/>
      <c r="O91" s="102"/>
      <c r="P91" s="102"/>
      <c r="V91" s="102"/>
      <c r="W91" s="102"/>
      <c r="X91" s="102"/>
      <c r="Y91" s="102"/>
      <c r="Z91" s="102"/>
      <c r="AA91" s="102"/>
      <c r="AB91" s="102"/>
      <c r="AH91" s="102"/>
      <c r="AI91" s="102"/>
      <c r="AJ91" s="102"/>
      <c r="AK91" s="102"/>
      <c r="AL91" s="102"/>
      <c r="AM91" s="102"/>
      <c r="AN91" s="102"/>
      <c r="AT91" s="102"/>
      <c r="AU91" s="102"/>
      <c r="AV91" s="102"/>
      <c r="AW91" s="102"/>
      <c r="AX91" s="102"/>
      <c r="AY91" s="102"/>
      <c r="AZ91" s="102"/>
      <c r="BA91" s="102"/>
    </row>
    <row r="92" spans="3:53" s="100" customFormat="1" ht="15.75" hidden="1" outlineLevel="1">
      <c r="C92" s="101"/>
      <c r="J92" s="102"/>
      <c r="K92" s="102"/>
      <c r="L92" s="102"/>
      <c r="M92" s="102"/>
      <c r="N92" s="102"/>
      <c r="O92" s="102"/>
      <c r="P92" s="102"/>
      <c r="V92" s="102"/>
      <c r="W92" s="102"/>
      <c r="X92" s="102"/>
      <c r="Y92" s="102"/>
      <c r="Z92" s="102"/>
      <c r="AA92" s="102"/>
      <c r="AB92" s="102"/>
      <c r="AH92" s="102"/>
      <c r="AI92" s="102"/>
      <c r="AJ92" s="102"/>
      <c r="AK92" s="102"/>
      <c r="AL92" s="102"/>
      <c r="AM92" s="102"/>
      <c r="AN92" s="102"/>
      <c r="AT92" s="102"/>
      <c r="AU92" s="102"/>
      <c r="AV92" s="102"/>
      <c r="AW92" s="102"/>
      <c r="AX92" s="102"/>
      <c r="AY92" s="102"/>
      <c r="AZ92" s="102"/>
      <c r="BA92" s="102"/>
    </row>
    <row r="93" spans="3:53" s="100" customFormat="1" ht="15.75" hidden="1" outlineLevel="1">
      <c r="C93" s="101"/>
      <c r="J93" s="102"/>
      <c r="K93" s="102"/>
      <c r="L93" s="102"/>
      <c r="M93" s="102"/>
      <c r="N93" s="102"/>
      <c r="O93" s="102"/>
      <c r="P93" s="102"/>
      <c r="V93" s="102"/>
      <c r="W93" s="102"/>
      <c r="X93" s="102"/>
      <c r="Y93" s="102"/>
      <c r="Z93" s="102"/>
      <c r="AA93" s="102"/>
      <c r="AB93" s="102"/>
      <c r="AH93" s="102"/>
      <c r="AI93" s="102"/>
      <c r="AJ93" s="102"/>
      <c r="AK93" s="102"/>
      <c r="AL93" s="102"/>
      <c r="AM93" s="102"/>
      <c r="AN93" s="102"/>
      <c r="AT93" s="102"/>
      <c r="AU93" s="102"/>
      <c r="AV93" s="102"/>
      <c r="AW93" s="102"/>
      <c r="AX93" s="102"/>
      <c r="AY93" s="102"/>
      <c r="AZ93" s="102"/>
      <c r="BA93" s="102"/>
    </row>
    <row r="94" spans="3:53" s="100" customFormat="1" hidden="1" outlineLevel="1">
      <c r="C94" s="103" t="str">
        <f>_xll.IdPrj.AnalyzerFuncs.AnalyzerOLAPMember("[Account].[Reporting Hierarchy].&amp;[935]","","BS2000 - BS_Net Inventory","","-524283.-524283.935","[Account].[Reporting Hierarchy]","000","D0")</f>
        <v>BS2000 - BS_Net Inventory</v>
      </c>
      <c r="D94" s="100" t="str">
        <f>_xll.IdPrj.AnalyzerFuncs.AnalyzerOLAPMember("[Partner].[Partner 1].&amp;[0]","","No Partner","","-524279.-524279.0","[Partner]","000","D1")</f>
        <v>No Partner</v>
      </c>
      <c r="E94" s="100">
        <v>15488.95982</v>
      </c>
      <c r="F94" s="100">
        <v>16155.17635</v>
      </c>
      <c r="G94" s="100">
        <v>15872.05766</v>
      </c>
      <c r="H94" s="100">
        <v>15069.483819999999</v>
      </c>
      <c r="J94" s="102"/>
      <c r="K94" s="102"/>
      <c r="L94" s="102"/>
      <c r="M94" s="102"/>
      <c r="N94" s="102"/>
      <c r="O94" s="102"/>
      <c r="P94" s="102"/>
      <c r="Q94" s="100">
        <v>15488.95982</v>
      </c>
      <c r="R94" s="100">
        <v>16155.17635</v>
      </c>
      <c r="S94" s="100">
        <v>15872.05766</v>
      </c>
      <c r="T94" s="100">
        <v>15886.375</v>
      </c>
      <c r="U94" s="100">
        <v>15964.165000000001</v>
      </c>
      <c r="V94" s="102">
        <v>15402.014999999999</v>
      </c>
      <c r="W94" s="102">
        <v>16317.434999999999</v>
      </c>
      <c r="X94" s="102">
        <v>15356.775</v>
      </c>
      <c r="Y94" s="102">
        <v>14646.205</v>
      </c>
      <c r="Z94" s="102">
        <v>13617.545</v>
      </c>
      <c r="AA94" s="102">
        <v>12673.285</v>
      </c>
      <c r="AB94" s="102">
        <v>12618.415000000001</v>
      </c>
      <c r="AC94" s="100">
        <v>16341.571</v>
      </c>
      <c r="AD94" s="100">
        <v>16473.010999999999</v>
      </c>
      <c r="AE94" s="100">
        <v>16005.370999999999</v>
      </c>
      <c r="AF94" s="100">
        <v>15837.721</v>
      </c>
      <c r="AG94" s="100">
        <v>16070.161</v>
      </c>
      <c r="AH94" s="102">
        <v>15701.511</v>
      </c>
      <c r="AI94" s="102">
        <v>16897.848000000002</v>
      </c>
      <c r="AJ94" s="102">
        <v>15833.188</v>
      </c>
      <c r="AK94" s="102">
        <v>15267.618</v>
      </c>
      <c r="AL94" s="102">
        <v>14102.958000000001</v>
      </c>
      <c r="AM94" s="102">
        <v>13439.698</v>
      </c>
      <c r="AN94" s="102">
        <v>13376.828</v>
      </c>
      <c r="AO94" s="100">
        <v>-4.0119999999999969</v>
      </c>
      <c r="AP94" s="100">
        <v>23662.779337399999</v>
      </c>
      <c r="AQ94" s="100">
        <v>21795.624796799999</v>
      </c>
      <c r="AR94" s="100">
        <v>20468.713</v>
      </c>
      <c r="AS94" s="100">
        <v>20856.592789999999</v>
      </c>
      <c r="AT94" s="102">
        <v>20428.82861</v>
      </c>
      <c r="AU94" s="102">
        <v>21764.831010000002</v>
      </c>
      <c r="AV94" s="102">
        <v>20058.942219999997</v>
      </c>
      <c r="AW94" s="102">
        <v>17901.920570000002</v>
      </c>
      <c r="AX94" s="102">
        <v>16428.44699</v>
      </c>
      <c r="AY94" s="102">
        <v>15417.60009</v>
      </c>
      <c r="AZ94" s="102">
        <v>14536.2363</v>
      </c>
      <c r="BA94" s="102">
        <v>15643.991</v>
      </c>
    </row>
    <row r="95" spans="3:53" s="100" customFormat="1" hidden="1" outlineLevel="1">
      <c r="C95" s="103" t="str">
        <f>_xll.IdPrj.AnalyzerFuncs.AnalyzerOLAPMember("[Account].[Reporting Hierarchy].&amp;[944]","","BS3000 - BS_Net Current Receivables RESTATED","","-524283.-524283.944","[Account].[Reporting Hierarchy]","000","D0")</f>
        <v>BS3000 - BS_Net Current Receivables RESTATED</v>
      </c>
      <c r="D95" s="100" t="str">
        <f>_xll.IdPrj.AnalyzerFuncs.AnalyzerOLAPMember("[Partner].[Partner 1].&amp;[0]","","No Partner","","-524279.-524279.0","[Partner]","000","D1")</f>
        <v>No Partner</v>
      </c>
      <c r="E95" s="100">
        <v>27500.359</v>
      </c>
      <c r="F95" s="100">
        <v>32167.532999999999</v>
      </c>
      <c r="G95" s="100">
        <v>40672.036999999997</v>
      </c>
      <c r="H95" s="100">
        <v>40842.099000000002</v>
      </c>
      <c r="J95" s="102"/>
      <c r="K95" s="102"/>
      <c r="L95" s="102"/>
      <c r="M95" s="102"/>
      <c r="N95" s="102"/>
      <c r="O95" s="102"/>
      <c r="P95" s="102"/>
      <c r="Q95" s="100">
        <v>27500.359</v>
      </c>
      <c r="R95" s="100">
        <v>32167.532999999999</v>
      </c>
      <c r="S95" s="100">
        <v>40672.036999999997</v>
      </c>
      <c r="T95" s="100">
        <v>50770.184999999998</v>
      </c>
      <c r="U95" s="100">
        <v>49243.093000000001</v>
      </c>
      <c r="V95" s="102">
        <v>47115.097999999998</v>
      </c>
      <c r="W95" s="102">
        <v>44076.383000000002</v>
      </c>
      <c r="X95" s="102">
        <v>43648.43</v>
      </c>
      <c r="Y95" s="102">
        <v>43986.112000000001</v>
      </c>
      <c r="Z95" s="102">
        <v>43411.186000000002</v>
      </c>
      <c r="AA95" s="102">
        <v>41176.385999999999</v>
      </c>
      <c r="AB95" s="102">
        <v>31259.692999999999</v>
      </c>
      <c r="AC95" s="100">
        <v>33473.055999999997</v>
      </c>
      <c r="AD95" s="100">
        <v>38306.027999999998</v>
      </c>
      <c r="AE95" s="100">
        <v>44358.237000000001</v>
      </c>
      <c r="AF95" s="100">
        <v>50554.972000000002</v>
      </c>
      <c r="AG95" s="100">
        <v>50482.2</v>
      </c>
      <c r="AH95" s="102">
        <v>49415.713000000003</v>
      </c>
      <c r="AI95" s="102">
        <v>46562.881999999998</v>
      </c>
      <c r="AJ95" s="102">
        <v>46786.646999999997</v>
      </c>
      <c r="AK95" s="102">
        <v>46974.701999999997</v>
      </c>
      <c r="AL95" s="102">
        <v>46423.665000000001</v>
      </c>
      <c r="AM95" s="102">
        <v>44075.527000000002</v>
      </c>
      <c r="AN95" s="102">
        <v>33911.701000000001</v>
      </c>
      <c r="AO95" s="100">
        <v>1687.2809999999999</v>
      </c>
      <c r="AP95" s="100">
        <v>40300.606</v>
      </c>
      <c r="AQ95" s="100">
        <v>43298.025999999998</v>
      </c>
      <c r="AR95" s="100">
        <v>42103.241999999998</v>
      </c>
      <c r="AS95" s="100">
        <v>37084.385999999999</v>
      </c>
      <c r="AT95" s="102">
        <v>36617.014999999999</v>
      </c>
      <c r="AU95" s="102">
        <v>35119.216</v>
      </c>
      <c r="AV95" s="102">
        <v>35112.319000000003</v>
      </c>
      <c r="AW95" s="102">
        <v>36933.339</v>
      </c>
      <c r="AX95" s="102">
        <v>38725.714999999997</v>
      </c>
      <c r="AY95" s="102">
        <v>36964.03</v>
      </c>
      <c r="AZ95" s="102">
        <v>27866.39</v>
      </c>
      <c r="BA95" s="102">
        <v>37060.224999999999</v>
      </c>
    </row>
    <row r="96" spans="3:53" s="100" customFormat="1" hidden="1" outlineLevel="1">
      <c r="C96" s="103" t="str">
        <f>_xll.IdPrj.AnalyzerFuncs.AnalyzerOLAPMember("[Account].[Reporting Hierarchy].&amp;[959]","","BS4000 - BS_Net Current Payables","","-524283.-524283.959","[Account].[Reporting Hierarchy]","000","D0")</f>
        <v>BS4000 - BS_Net Current Payables</v>
      </c>
      <c r="D96" s="100" t="str">
        <f>_xll.IdPrj.AnalyzerFuncs.AnalyzerOLAPMember("[Partner].[Partner 1].&amp;[0]","","No Partner","","-524279.-524279.0","[Partner]","000","D1")</f>
        <v>No Partner</v>
      </c>
      <c r="E96" s="100">
        <v>18242.177</v>
      </c>
      <c r="F96" s="100">
        <v>24108.705000000002</v>
      </c>
      <c r="G96" s="100">
        <v>32499.37</v>
      </c>
      <c r="H96" s="100">
        <v>24223.484</v>
      </c>
      <c r="J96" s="102"/>
      <c r="K96" s="102"/>
      <c r="L96" s="102"/>
      <c r="M96" s="102"/>
      <c r="N96" s="102"/>
      <c r="O96" s="102"/>
      <c r="P96" s="102"/>
      <c r="Q96" s="100">
        <v>18242.177</v>
      </c>
      <c r="R96" s="100">
        <v>24108.705000000002</v>
      </c>
      <c r="S96" s="100">
        <v>32499.37</v>
      </c>
      <c r="T96" s="100">
        <v>34865.803</v>
      </c>
      <c r="U96" s="100">
        <v>32881.955999999998</v>
      </c>
      <c r="V96" s="102">
        <v>30361.404999999999</v>
      </c>
      <c r="W96" s="102">
        <v>31295.681</v>
      </c>
      <c r="X96" s="102">
        <v>28917.366000000002</v>
      </c>
      <c r="Y96" s="102">
        <v>30627.788</v>
      </c>
      <c r="Z96" s="102">
        <v>31852.749</v>
      </c>
      <c r="AA96" s="102">
        <v>28711.188999999998</v>
      </c>
      <c r="AB96" s="102">
        <v>22494.737000000001</v>
      </c>
      <c r="AC96" s="100">
        <v>21345.685000000001</v>
      </c>
      <c r="AD96" s="100">
        <v>29450.3</v>
      </c>
      <c r="AE96" s="100">
        <v>32368.19</v>
      </c>
      <c r="AF96" s="100">
        <v>33702.002</v>
      </c>
      <c r="AG96" s="100">
        <v>32259.326000000001</v>
      </c>
      <c r="AH96" s="102">
        <v>30671.133999999998</v>
      </c>
      <c r="AI96" s="102">
        <v>31806.593000000001</v>
      </c>
      <c r="AJ96" s="102">
        <v>29461.846000000001</v>
      </c>
      <c r="AK96" s="102">
        <v>31161.491999999998</v>
      </c>
      <c r="AL96" s="102">
        <v>32475.641</v>
      </c>
      <c r="AM96" s="102">
        <v>29304.594000000001</v>
      </c>
      <c r="AN96" s="102">
        <v>22984.859</v>
      </c>
      <c r="AO96" s="100">
        <v>51.451999999999998</v>
      </c>
      <c r="AP96" s="100">
        <v>24995.394</v>
      </c>
      <c r="AQ96" s="100">
        <v>27627.433000000001</v>
      </c>
      <c r="AR96" s="100">
        <v>26148.199000000001</v>
      </c>
      <c r="AS96" s="100">
        <v>18444.345000000001</v>
      </c>
      <c r="AT96" s="102">
        <v>24725.964</v>
      </c>
      <c r="AU96" s="102">
        <v>21356.741999999998</v>
      </c>
      <c r="AV96" s="102">
        <v>19858.578000000001</v>
      </c>
      <c r="AW96" s="102">
        <v>24144.267</v>
      </c>
      <c r="AX96" s="102">
        <v>18040.101999999999</v>
      </c>
      <c r="AY96" s="102">
        <v>18264.816999999999</v>
      </c>
      <c r="AZ96" s="102">
        <v>20408.710999999999</v>
      </c>
      <c r="BA96" s="102">
        <v>21046.094000000001</v>
      </c>
    </row>
    <row r="97" spans="3:53" s="13" customFormat="1" ht="15.75" hidden="1" outlineLevel="1">
      <c r="C97" s="101" t="s">
        <v>50</v>
      </c>
      <c r="E97" s="13">
        <f t="shared" ref="E97:AN97" si="76">E94+E95-E96</f>
        <v>24747.141820000001</v>
      </c>
      <c r="F97" s="13">
        <f t="shared" si="76"/>
        <v>24214.004349999996</v>
      </c>
      <c r="G97" s="13">
        <f t="shared" si="76"/>
        <v>24044.724659999996</v>
      </c>
      <c r="H97" s="13">
        <f t="shared" si="76"/>
        <v>31688.098820000003</v>
      </c>
      <c r="I97" s="13">
        <f t="shared" si="76"/>
        <v>0</v>
      </c>
      <c r="J97" s="13">
        <f t="shared" si="76"/>
        <v>0</v>
      </c>
      <c r="K97" s="13">
        <f t="shared" si="76"/>
        <v>0</v>
      </c>
      <c r="L97" s="13">
        <f t="shared" si="76"/>
        <v>0</v>
      </c>
      <c r="M97" s="13">
        <f t="shared" si="76"/>
        <v>0</v>
      </c>
      <c r="N97" s="13">
        <f t="shared" si="76"/>
        <v>0</v>
      </c>
      <c r="O97" s="13">
        <f t="shared" si="76"/>
        <v>0</v>
      </c>
      <c r="P97" s="13">
        <f t="shared" si="76"/>
        <v>0</v>
      </c>
      <c r="Q97" s="13">
        <f t="shared" ref="Q97:AB97" si="77">Q94+Q95-Q96</f>
        <v>24747.141820000001</v>
      </c>
      <c r="R97" s="13">
        <f t="shared" si="77"/>
        <v>24214.004349999996</v>
      </c>
      <c r="S97" s="13">
        <f t="shared" si="77"/>
        <v>24044.724659999996</v>
      </c>
      <c r="T97" s="13">
        <f t="shared" si="77"/>
        <v>31790.756999999998</v>
      </c>
      <c r="U97" s="13">
        <f t="shared" si="77"/>
        <v>32325.302000000003</v>
      </c>
      <c r="V97" s="13">
        <f t="shared" si="77"/>
        <v>32155.707999999999</v>
      </c>
      <c r="W97" s="13">
        <f t="shared" si="77"/>
        <v>29098.136999999999</v>
      </c>
      <c r="X97" s="13">
        <f t="shared" si="77"/>
        <v>30087.839</v>
      </c>
      <c r="Y97" s="13">
        <f t="shared" si="77"/>
        <v>28004.529000000002</v>
      </c>
      <c r="Z97" s="13">
        <f t="shared" si="77"/>
        <v>25175.982</v>
      </c>
      <c r="AA97" s="13">
        <f t="shared" si="77"/>
        <v>25138.482000000004</v>
      </c>
      <c r="AB97" s="13">
        <f t="shared" si="77"/>
        <v>21383.370999999999</v>
      </c>
      <c r="AC97" s="13">
        <f t="shared" si="76"/>
        <v>28468.941999999992</v>
      </c>
      <c r="AD97" s="13">
        <f t="shared" si="76"/>
        <v>25328.738999999998</v>
      </c>
      <c r="AE97" s="13">
        <f t="shared" si="76"/>
        <v>27995.418000000001</v>
      </c>
      <c r="AF97" s="13">
        <f t="shared" si="76"/>
        <v>32690.690999999999</v>
      </c>
      <c r="AG97" s="13">
        <f t="shared" si="76"/>
        <v>34293.035000000003</v>
      </c>
      <c r="AH97" s="13">
        <f t="shared" si="76"/>
        <v>34446.090000000004</v>
      </c>
      <c r="AI97" s="13">
        <f t="shared" si="76"/>
        <v>31654.136999999995</v>
      </c>
      <c r="AJ97" s="13">
        <f t="shared" si="76"/>
        <v>33157.989000000001</v>
      </c>
      <c r="AK97" s="13">
        <f t="shared" si="76"/>
        <v>31080.828000000001</v>
      </c>
      <c r="AL97" s="13">
        <f t="shared" si="76"/>
        <v>28050.982</v>
      </c>
      <c r="AM97" s="13">
        <f t="shared" si="76"/>
        <v>28210.631000000005</v>
      </c>
      <c r="AN97" s="13">
        <f t="shared" si="76"/>
        <v>24303.670000000002</v>
      </c>
      <c r="AO97" s="13">
        <f t="shared" ref="AO97:BA97" si="78">AO94+AO95-AO96</f>
        <v>1631.817</v>
      </c>
      <c r="AP97" s="13">
        <f t="shared" si="78"/>
        <v>38967.991337400003</v>
      </c>
      <c r="AQ97" s="13">
        <f t="shared" si="78"/>
        <v>37466.217796799989</v>
      </c>
      <c r="AR97" s="13">
        <f t="shared" si="78"/>
        <v>36423.756000000001</v>
      </c>
      <c r="AS97" s="13">
        <f t="shared" si="78"/>
        <v>39496.633789999993</v>
      </c>
      <c r="AT97" s="13">
        <f t="shared" si="78"/>
        <v>32319.879609999996</v>
      </c>
      <c r="AU97" s="13">
        <f t="shared" si="78"/>
        <v>35527.305010000004</v>
      </c>
      <c r="AV97" s="13">
        <f t="shared" si="78"/>
        <v>35312.683219999999</v>
      </c>
      <c r="AW97" s="13">
        <f t="shared" si="78"/>
        <v>30690.992570000002</v>
      </c>
      <c r="AX97" s="13">
        <f t="shared" si="78"/>
        <v>37114.059989999994</v>
      </c>
      <c r="AY97" s="13">
        <f t="shared" si="78"/>
        <v>34116.813089999996</v>
      </c>
      <c r="AZ97" s="13">
        <f t="shared" si="78"/>
        <v>21993.915300000004</v>
      </c>
      <c r="BA97" s="13">
        <f t="shared" si="78"/>
        <v>31658.121999999999</v>
      </c>
    </row>
    <row r="98" spans="3:53" s="100" customFormat="1" hidden="1" outlineLevel="1">
      <c r="J98" s="102"/>
      <c r="K98" s="102"/>
      <c r="L98" s="102"/>
      <c r="M98" s="102"/>
      <c r="N98" s="102"/>
      <c r="O98" s="102"/>
      <c r="P98" s="102"/>
      <c r="V98" s="102"/>
      <c r="W98" s="102"/>
      <c r="X98" s="102"/>
      <c r="Y98" s="102"/>
      <c r="Z98" s="102"/>
      <c r="AA98" s="102"/>
      <c r="AB98" s="102"/>
      <c r="AH98" s="102"/>
      <c r="AI98" s="102"/>
      <c r="AJ98" s="102"/>
      <c r="AK98" s="102"/>
      <c r="AL98" s="102"/>
      <c r="AM98" s="102"/>
      <c r="AN98" s="102"/>
      <c r="AT98" s="102"/>
      <c r="AU98" s="102"/>
      <c r="AV98" s="102"/>
      <c r="AW98" s="102"/>
      <c r="AX98" s="102"/>
      <c r="AY98" s="102"/>
      <c r="AZ98" s="102"/>
      <c r="BA98" s="102"/>
    </row>
    <row r="99" spans="3:53" s="100" customFormat="1" hidden="1" outlineLevel="1">
      <c r="C99" s="103" t="str">
        <f>_xll.IdPrj.AnalyzerFuncs.AnalyzerOLAPMember("[Account].[Reporting Hierarchy].&amp;[968]","","BS5000 - BS_Other Receivables RESTATED","","-524283.-524283.968","[Account].[Reporting Hierarchy]","000","D0")</f>
        <v>BS5000 - BS_Other Receivables RESTATED</v>
      </c>
      <c r="D99" s="100" t="str">
        <f>_xll.IdPrj.AnalyzerFuncs.AnalyzerOLAPMember("[Partner].[Partner 1].&amp;[0]","","No Partner","","-524279.-524279.0","[Partner]","000","D1")</f>
        <v>No Partner</v>
      </c>
      <c r="E99" s="100">
        <v>7293.3580000000002</v>
      </c>
      <c r="F99" s="100">
        <v>7568.3069999999998</v>
      </c>
      <c r="G99" s="100">
        <v>7711.4</v>
      </c>
      <c r="H99" s="100">
        <v>3439.3139999999999</v>
      </c>
      <c r="J99" s="102"/>
      <c r="K99" s="102"/>
      <c r="L99" s="102"/>
      <c r="M99" s="102"/>
      <c r="N99" s="102"/>
      <c r="O99" s="102"/>
      <c r="P99" s="102"/>
      <c r="Q99" s="100">
        <v>7293.3580000000002</v>
      </c>
      <c r="R99" s="100">
        <v>7568.3069999999998</v>
      </c>
      <c r="S99" s="100">
        <v>7711.4</v>
      </c>
      <c r="T99" s="100">
        <v>2196.625</v>
      </c>
      <c r="U99" s="100">
        <v>2104.3049999999998</v>
      </c>
      <c r="V99" s="102">
        <v>2050.9850000000001</v>
      </c>
      <c r="W99" s="102">
        <v>2094.4160000000002</v>
      </c>
      <c r="X99" s="102">
        <v>2000.096</v>
      </c>
      <c r="Y99" s="102">
        <v>2024.7760000000001</v>
      </c>
      <c r="Z99" s="102">
        <v>2086.1010000000001</v>
      </c>
      <c r="AA99" s="102">
        <v>2000.7809999999999</v>
      </c>
      <c r="AB99" s="102">
        <v>1577.461</v>
      </c>
      <c r="AC99" s="100">
        <v>5093.5950000000003</v>
      </c>
      <c r="AD99" s="100">
        <v>5313.558</v>
      </c>
      <c r="AE99" s="100">
        <v>5380.6210000000001</v>
      </c>
      <c r="AF99" s="100">
        <v>1474.1130000000001</v>
      </c>
      <c r="AG99" s="100">
        <v>1452.1759999999999</v>
      </c>
      <c r="AH99" s="102">
        <v>1494.1389999999999</v>
      </c>
      <c r="AI99" s="102">
        <v>1502.99</v>
      </c>
      <c r="AJ99" s="102">
        <v>1464.19</v>
      </c>
      <c r="AK99" s="102">
        <v>1444.29</v>
      </c>
      <c r="AL99" s="102">
        <v>1436.0350000000001</v>
      </c>
      <c r="AM99" s="102">
        <v>1451.2349999999999</v>
      </c>
      <c r="AN99" s="102">
        <v>1213.335</v>
      </c>
      <c r="AO99" s="100">
        <v>325.52100000000002</v>
      </c>
      <c r="AP99" s="100">
        <v>6974.2219999999998</v>
      </c>
      <c r="AQ99" s="100">
        <v>8020.1710000000003</v>
      </c>
      <c r="AR99" s="100">
        <v>4347.317</v>
      </c>
      <c r="AS99" s="100">
        <v>3955.9380000000001</v>
      </c>
      <c r="AT99" s="102">
        <v>5141.8890000000001</v>
      </c>
      <c r="AU99" s="102">
        <v>4898.1559999999999</v>
      </c>
      <c r="AV99" s="102">
        <v>4362.2640000000001</v>
      </c>
      <c r="AW99" s="102">
        <v>6027.665</v>
      </c>
      <c r="AX99" s="102">
        <v>5662.2030000000004</v>
      </c>
      <c r="AY99" s="102">
        <v>6017.5889999999999</v>
      </c>
      <c r="AZ99" s="102">
        <v>7258.7219999999998</v>
      </c>
      <c r="BA99" s="102">
        <v>6945.0219999999999</v>
      </c>
    </row>
    <row r="100" spans="3:53" s="100" customFormat="1" hidden="1" outlineLevel="1">
      <c r="C100" s="103" t="str">
        <f>_xll.IdPrj.AnalyzerFuncs.AnalyzerOLAPMember("[Account].[Reporting Hierarchy].&amp;[999]","","BS6000 - BS_Other Payables RESTATED","","-524283.-524283.999","[Account].[Reporting Hierarchy]","000","D0")</f>
        <v>BS6000 - BS_Other Payables RESTATED</v>
      </c>
      <c r="D100" s="100" t="str">
        <f>_xll.IdPrj.AnalyzerFuncs.AnalyzerOLAPMember("[Partner].[Partner 1].&amp;[0]","","No Partner","","-524279.-524279.0","[Partner]","000","D1")</f>
        <v>No Partner</v>
      </c>
      <c r="E100" s="100">
        <v>19357.374</v>
      </c>
      <c r="F100" s="100">
        <v>20744.812999999998</v>
      </c>
      <c r="G100" s="100">
        <v>22401.272000000001</v>
      </c>
      <c r="H100" s="100">
        <v>20093.988000000001</v>
      </c>
      <c r="J100" s="102"/>
      <c r="K100" s="102"/>
      <c r="L100" s="102"/>
      <c r="M100" s="102"/>
      <c r="N100" s="102"/>
      <c r="O100" s="102"/>
      <c r="P100" s="102"/>
      <c r="Q100" s="100">
        <v>19357.374</v>
      </c>
      <c r="R100" s="100">
        <v>20744.812999999998</v>
      </c>
      <c r="S100" s="100">
        <v>22401.272000000001</v>
      </c>
      <c r="T100" s="100">
        <v>18232.924999999999</v>
      </c>
      <c r="U100" s="100">
        <v>18676.924999999999</v>
      </c>
      <c r="V100" s="102">
        <v>19676.924999999999</v>
      </c>
      <c r="W100" s="102">
        <v>19264.924999999999</v>
      </c>
      <c r="X100" s="102">
        <v>18746.924999999999</v>
      </c>
      <c r="Y100" s="102">
        <v>19350.924999999999</v>
      </c>
      <c r="Z100" s="102">
        <v>19777.924999999999</v>
      </c>
      <c r="AA100" s="102">
        <v>19791.924999999999</v>
      </c>
      <c r="AB100" s="102">
        <v>17736.924999999999</v>
      </c>
      <c r="AC100" s="100">
        <v>18703.059000000001</v>
      </c>
      <c r="AD100" s="100">
        <v>19554.059000000001</v>
      </c>
      <c r="AE100" s="100">
        <v>20609.059000000001</v>
      </c>
      <c r="AF100" s="100">
        <v>18685.454000000002</v>
      </c>
      <c r="AG100" s="100">
        <v>18936.454000000002</v>
      </c>
      <c r="AH100" s="102">
        <v>20058.454000000002</v>
      </c>
      <c r="AI100" s="102">
        <v>19734.454000000002</v>
      </c>
      <c r="AJ100" s="102">
        <v>19031.454000000002</v>
      </c>
      <c r="AK100" s="102">
        <v>19849.454000000002</v>
      </c>
      <c r="AL100" s="102">
        <v>20160.454000000002</v>
      </c>
      <c r="AM100" s="102">
        <v>20014.454000000002</v>
      </c>
      <c r="AN100" s="102">
        <v>17725.454000000002</v>
      </c>
      <c r="AO100" s="100">
        <v>8378.61</v>
      </c>
      <c r="AP100" s="100">
        <v>24873.002</v>
      </c>
      <c r="AQ100" s="100">
        <v>26328.598999999998</v>
      </c>
      <c r="AR100" s="100">
        <v>23367.953000000001</v>
      </c>
      <c r="AS100" s="100">
        <v>23206.653999999999</v>
      </c>
      <c r="AT100" s="102">
        <v>23015.802</v>
      </c>
      <c r="AU100" s="102">
        <v>20958.878000000001</v>
      </c>
      <c r="AV100" s="102">
        <v>21935.665000000001</v>
      </c>
      <c r="AW100" s="102">
        <v>23179.073</v>
      </c>
      <c r="AX100" s="102">
        <v>22158.037</v>
      </c>
      <c r="AY100" s="102">
        <v>23464.921999999999</v>
      </c>
      <c r="AZ100" s="102">
        <v>21677.964</v>
      </c>
      <c r="BA100" s="102">
        <v>21453.723999999998</v>
      </c>
    </row>
    <row r="101" spans="3:53" s="13" customFormat="1" ht="15.75" hidden="1" outlineLevel="1">
      <c r="C101" s="101" t="s">
        <v>49</v>
      </c>
      <c r="E101" s="13">
        <f t="shared" ref="E101:AN101" si="79">E99-E100</f>
        <v>-12064.016</v>
      </c>
      <c r="F101" s="13">
        <f t="shared" si="79"/>
        <v>-13176.505999999998</v>
      </c>
      <c r="G101" s="13">
        <f t="shared" si="79"/>
        <v>-14689.872000000001</v>
      </c>
      <c r="H101" s="13">
        <f t="shared" si="79"/>
        <v>-16654.674000000003</v>
      </c>
      <c r="I101" s="13">
        <f t="shared" si="79"/>
        <v>0</v>
      </c>
      <c r="J101" s="13">
        <f t="shared" si="79"/>
        <v>0</v>
      </c>
      <c r="K101" s="13">
        <f t="shared" si="79"/>
        <v>0</v>
      </c>
      <c r="L101" s="13">
        <f t="shared" si="79"/>
        <v>0</v>
      </c>
      <c r="M101" s="13">
        <f t="shared" si="79"/>
        <v>0</v>
      </c>
      <c r="N101" s="13">
        <f t="shared" si="79"/>
        <v>0</v>
      </c>
      <c r="O101" s="13">
        <f t="shared" si="79"/>
        <v>0</v>
      </c>
      <c r="P101" s="13">
        <f t="shared" si="79"/>
        <v>0</v>
      </c>
      <c r="Q101" s="13">
        <f t="shared" ref="Q101:AB101" si="80">Q99-Q100</f>
        <v>-12064.016</v>
      </c>
      <c r="R101" s="13">
        <f t="shared" si="80"/>
        <v>-13176.505999999998</v>
      </c>
      <c r="S101" s="13">
        <f t="shared" si="80"/>
        <v>-14689.872000000001</v>
      </c>
      <c r="T101" s="13">
        <f t="shared" si="80"/>
        <v>-16036.3</v>
      </c>
      <c r="U101" s="13">
        <f t="shared" si="80"/>
        <v>-16572.62</v>
      </c>
      <c r="V101" s="13">
        <f t="shared" si="80"/>
        <v>-17625.939999999999</v>
      </c>
      <c r="W101" s="13">
        <f t="shared" si="80"/>
        <v>-17170.508999999998</v>
      </c>
      <c r="X101" s="13">
        <f t="shared" si="80"/>
        <v>-16746.828999999998</v>
      </c>
      <c r="Y101" s="13">
        <f t="shared" si="80"/>
        <v>-17326.148999999998</v>
      </c>
      <c r="Z101" s="13">
        <f t="shared" si="80"/>
        <v>-17691.824000000001</v>
      </c>
      <c r="AA101" s="13">
        <f t="shared" si="80"/>
        <v>-17791.144</v>
      </c>
      <c r="AB101" s="13">
        <f t="shared" si="80"/>
        <v>-16159.464</v>
      </c>
      <c r="AC101" s="13">
        <f t="shared" si="79"/>
        <v>-13609.464</v>
      </c>
      <c r="AD101" s="13">
        <f t="shared" si="79"/>
        <v>-14240.501</v>
      </c>
      <c r="AE101" s="13">
        <f t="shared" si="79"/>
        <v>-15228.438000000002</v>
      </c>
      <c r="AF101" s="13">
        <f t="shared" si="79"/>
        <v>-17211.341</v>
      </c>
      <c r="AG101" s="13">
        <f t="shared" si="79"/>
        <v>-17484.278000000002</v>
      </c>
      <c r="AH101" s="13">
        <f t="shared" si="79"/>
        <v>-18564.315000000002</v>
      </c>
      <c r="AI101" s="13">
        <f t="shared" si="79"/>
        <v>-18231.464</v>
      </c>
      <c r="AJ101" s="13">
        <f t="shared" si="79"/>
        <v>-17567.264000000003</v>
      </c>
      <c r="AK101" s="13">
        <f t="shared" si="79"/>
        <v>-18405.164000000001</v>
      </c>
      <c r="AL101" s="13">
        <f t="shared" si="79"/>
        <v>-18724.419000000002</v>
      </c>
      <c r="AM101" s="13">
        <f t="shared" si="79"/>
        <v>-18563.219000000001</v>
      </c>
      <c r="AN101" s="13">
        <f t="shared" si="79"/>
        <v>-16512.119000000002</v>
      </c>
      <c r="AO101" s="13">
        <f t="shared" ref="AO101:BA101" si="81">AO99-AO100</f>
        <v>-8053.0890000000009</v>
      </c>
      <c r="AP101" s="13">
        <f t="shared" si="81"/>
        <v>-17898.78</v>
      </c>
      <c r="AQ101" s="13">
        <f t="shared" si="81"/>
        <v>-18308.428</v>
      </c>
      <c r="AR101" s="13">
        <f t="shared" si="81"/>
        <v>-19020.636000000002</v>
      </c>
      <c r="AS101" s="13">
        <f t="shared" si="81"/>
        <v>-19250.716</v>
      </c>
      <c r="AT101" s="13">
        <f t="shared" si="81"/>
        <v>-17873.913</v>
      </c>
      <c r="AU101" s="13">
        <f t="shared" si="81"/>
        <v>-16060.722000000002</v>
      </c>
      <c r="AV101" s="13">
        <f t="shared" si="81"/>
        <v>-17573.401000000002</v>
      </c>
      <c r="AW101" s="13">
        <f t="shared" si="81"/>
        <v>-17151.407999999999</v>
      </c>
      <c r="AX101" s="13">
        <f t="shared" si="81"/>
        <v>-16495.833999999999</v>
      </c>
      <c r="AY101" s="13">
        <f t="shared" si="81"/>
        <v>-17447.332999999999</v>
      </c>
      <c r="AZ101" s="13">
        <f t="shared" si="81"/>
        <v>-14419.242</v>
      </c>
      <c r="BA101" s="13">
        <f t="shared" si="81"/>
        <v>-14508.701999999997</v>
      </c>
    </row>
    <row r="102" spans="3:53" s="100" customFormat="1" hidden="1" outlineLevel="1"/>
    <row r="103" spans="3:53" s="100" customFormat="1" hidden="1" outlineLevel="1"/>
    <row r="104" spans="3:53" s="100" customFormat="1" hidden="1" collapsed="1"/>
    <row r="105" spans="3:53" s="100" customFormat="1" hidden="1"/>
    <row r="106" spans="3:53" s="100" customFormat="1"/>
    <row r="107" spans="3:53" s="100" customFormat="1"/>
    <row r="108" spans="3:53" s="100" customFormat="1"/>
    <row r="109" spans="3:53" s="100" customFormat="1"/>
    <row r="110" spans="3:53" s="100" customFormat="1"/>
    <row r="111" spans="3:53" s="100" customFormat="1"/>
    <row r="112" spans="3:53" s="100" customFormat="1"/>
    <row r="113" s="100" customFormat="1"/>
    <row r="114" s="100" customFormat="1"/>
    <row r="115" s="100" customFormat="1"/>
    <row r="116" s="100" customFormat="1"/>
    <row r="117" s="100" customFormat="1"/>
    <row r="118" s="100" customFormat="1"/>
    <row r="119" s="100" customFormat="1"/>
    <row r="120" s="100" customFormat="1"/>
    <row r="121" s="100" customFormat="1"/>
    <row r="122" s="100" customFormat="1"/>
    <row r="123" s="100" customFormat="1"/>
    <row r="124" s="100" customFormat="1"/>
    <row r="125" s="100" customFormat="1"/>
    <row r="126" s="100" customFormat="1"/>
    <row r="127" s="100" customFormat="1"/>
    <row r="128" s="100" customFormat="1"/>
  </sheetData>
  <pageMargins left="0.15748031496062992" right="0.15748031496062992" top="0.19685039370078741" bottom="0.43307086614173229" header="0.31496062992125984" footer="0.31496062992125984"/>
  <pageSetup paperSize="9" scale="28" orientation="landscape" r:id="rId1"/>
  <headerFooter>
    <oddFooter>&amp;L&amp;F&amp;C&amp;P/&amp;N&amp;R&amp;D-&amp;T</oddFooter>
  </headerFooter>
  <drawing r:id="rId2"/>
  <legacyDrawing r:id="rId3"/>
  <controls>
    <mc:AlternateContent xmlns:mc="http://schemas.openxmlformats.org/markup-compatibility/2006">
      <mc:Choice Requires="x14">
        <control shapeId="10246" r:id="rId4" name="AnalyzerConnectionInfo">
          <controlPr defaultSize="0" autoLine="0" r:id="rId5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6" r:id="rId4" name="AnalyzerConnectionInfo"/>
      </mc:Fallback>
    </mc:AlternateContent>
    <mc:AlternateContent xmlns:mc="http://schemas.openxmlformats.org/markup-compatibility/2006">
      <mc:Choice Requires="x14">
        <control shapeId="10245" r:id="rId6" name="AnalyzerDynSheetInfo">
          <controlPr defaultSize="0" autoLine="0" r:id="rId7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5" r:id="rId6" name="AnalyzerDynSheetInfo"/>
      </mc:Fallback>
    </mc:AlternateContent>
    <mc:AlternateContent xmlns:mc="http://schemas.openxmlformats.org/markup-compatibility/2006">
      <mc:Choice Requires="x14">
        <control shapeId="10244" r:id="rId8" name="AnalyzerDynReport000">
          <controlPr defaultSize="0" autoLine="0" r:id="rId9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4" r:id="rId8" name="AnalyzerDynReport000"/>
      </mc:Fallback>
    </mc:AlternateContent>
    <mc:AlternateContent xmlns:mc="http://schemas.openxmlformats.org/markup-compatibility/2006">
      <mc:Choice Requires="x14">
        <control shapeId="10243" r:id="rId10" name="AnalyzerDynAcrossAxis000">
          <controlPr defaultSize="0" autoLine="0" r:id="rId11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3" r:id="rId10" name="AnalyzerDynAcrossAxis000"/>
      </mc:Fallback>
    </mc:AlternateContent>
    <mc:AlternateContent xmlns:mc="http://schemas.openxmlformats.org/markup-compatibility/2006">
      <mc:Choice Requires="x14">
        <control shapeId="10242" r:id="rId12" name="AnalyzerDynDownAxis000">
          <controlPr defaultSize="0" autoLine="0" r:id="rId13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2" r:id="rId12" name="AnalyzerDynDownAxis000"/>
      </mc:Fallback>
    </mc:AlternateContent>
    <mc:AlternateContent xmlns:mc="http://schemas.openxmlformats.org/markup-compatibility/2006">
      <mc:Choice Requires="x14">
        <control shapeId="10241" r:id="rId14" name="AnalyzerPageHeaders000">
          <controlPr defaultSize="0" autoLine="0" r:id="rId15">
            <anchor moveWithCells="1">
              <from>
                <xdr:col>19</xdr:col>
                <xdr:colOff>0</xdr:colOff>
                <xdr:row>105</xdr:row>
                <xdr:rowOff>0</xdr:rowOff>
              </from>
              <to>
                <xdr:col>19</xdr:col>
                <xdr:colOff>9525</xdr:colOff>
                <xdr:row>105</xdr:row>
                <xdr:rowOff>9525</xdr:rowOff>
              </to>
            </anchor>
          </controlPr>
        </control>
      </mc:Choice>
      <mc:Fallback>
        <control shapeId="10241" r:id="rId14" name="AnalyzerPageHeaders000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9">
    <pageSetUpPr fitToPage="1"/>
  </sheetPr>
  <dimension ref="A1:BX128"/>
  <sheetViews>
    <sheetView showGridLines="0" zoomScale="80" zoomScaleNormal="80" workbookViewId="0">
      <pane xSplit="2" ySplit="16" topLeftCell="F17" activePane="bottomRight" state="frozen"/>
      <selection pane="topRight" activeCell="C1" sqref="C1"/>
      <selection pane="bottomLeft" activeCell="A17" sqref="A17"/>
      <selection pane="bottomRight" activeCell="F18" sqref="F18"/>
    </sheetView>
  </sheetViews>
  <sheetFormatPr defaultColWidth="9.140625" defaultRowHeight="15" outlineLevelRow="1" outlineLevelCol="1"/>
  <cols>
    <col min="1" max="1" width="20.140625" style="19" hidden="1" customWidth="1" outlineLevel="1"/>
    <col min="2" max="2" width="42.140625" style="19" customWidth="1" collapsed="1"/>
    <col min="3" max="5" width="13.7109375" style="19" hidden="1" customWidth="1" outlineLevel="1"/>
    <col min="6" max="6" width="13.7109375" style="19" customWidth="1" collapsed="1"/>
    <col min="7" max="17" width="13.7109375" style="19" hidden="1" customWidth="1" outlineLevel="1"/>
    <col min="18" max="18" width="13.7109375" style="19" customWidth="1" collapsed="1"/>
    <col min="19" max="25" width="13.7109375" style="19" hidden="1" customWidth="1" outlineLevel="1"/>
    <col min="26" max="26" width="13.7109375" style="19" customWidth="1" collapsed="1"/>
    <col min="27" max="29" width="13.7109375" style="19" hidden="1" customWidth="1" outlineLevel="1"/>
    <col min="30" max="30" width="13.7109375" style="19" customWidth="1" collapsed="1"/>
    <col min="31" max="37" width="13.7109375" style="19" hidden="1" customWidth="1" outlineLevel="1"/>
    <col min="38" max="38" width="13.7109375" style="19" customWidth="1" collapsed="1"/>
    <col min="39" max="41" width="13.7109375" style="19" hidden="1" customWidth="1" outlineLevel="1"/>
    <col min="42" max="42" width="13.7109375" style="19" customWidth="1" collapsed="1"/>
    <col min="43" max="49" width="13.7109375" style="19" hidden="1" customWidth="1" outlineLevel="1"/>
    <col min="50" max="50" width="13.7109375" style="19" customWidth="1" collapsed="1"/>
    <col min="51" max="51" width="13.7109375" style="19" hidden="1" customWidth="1" outlineLevel="1"/>
    <col min="52" max="52" width="9" style="19" customWidth="1" collapsed="1"/>
    <col min="53" max="16384" width="9.140625" style="19"/>
  </cols>
  <sheetData>
    <row r="1" spans="1:52" ht="21">
      <c r="A1" s="25" t="str">
        <f>_xll.IdPrj.AnalyzerFuncs.AnalyzerOLAPMember(P,"","2013.12","","-524281.-524281.29720576","[Period]","000","H")</f>
        <v>2013.12</v>
      </c>
      <c r="B1" s="29" t="str">
        <f t="shared" ref="B1:B7" si="0">A1</f>
        <v>2013.12</v>
      </c>
      <c r="C1" s="96"/>
      <c r="D1" s="96"/>
      <c r="E1" s="96"/>
      <c r="F1" s="99"/>
      <c r="G1" s="98"/>
      <c r="H1" s="98"/>
      <c r="I1" s="98"/>
      <c r="J1" s="98"/>
      <c r="K1" s="98"/>
      <c r="L1" s="98"/>
      <c r="M1" s="98"/>
      <c r="N1" s="9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96"/>
      <c r="AN1" s="96"/>
      <c r="AO1" s="96"/>
      <c r="AP1" s="99"/>
      <c r="AQ1" s="98"/>
      <c r="AR1" s="98"/>
      <c r="AS1" s="98"/>
      <c r="AT1" s="98"/>
      <c r="AU1" s="98"/>
      <c r="AV1" s="98"/>
      <c r="AW1" s="98"/>
      <c r="AX1" s="98"/>
      <c r="AY1" s="98"/>
      <c r="AZ1" s="18"/>
    </row>
    <row r="2" spans="1:52" ht="21">
      <c r="A2" s="25" t="str">
        <f>_xll.IdPrj.AnalyzerFuncs.AnalyzerOLAPMember(VA,"","DEF","","AllIdent","[X01 - Variant]","000","H")</f>
        <v>DEF</v>
      </c>
      <c r="B2" s="29" t="str">
        <f t="shared" si="0"/>
        <v>DEF</v>
      </c>
      <c r="C2" s="96"/>
      <c r="D2" s="96"/>
      <c r="E2" s="96"/>
      <c r="F2" s="99"/>
      <c r="G2" s="98"/>
      <c r="H2" s="98"/>
      <c r="I2" s="98"/>
      <c r="J2" s="98"/>
      <c r="K2" s="98"/>
      <c r="L2" s="98"/>
      <c r="M2" s="98"/>
      <c r="N2" s="9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96"/>
      <c r="AN2" s="96"/>
      <c r="AO2" s="96"/>
      <c r="AP2" s="99"/>
      <c r="AQ2" s="98"/>
      <c r="AR2" s="98"/>
      <c r="AS2" s="98"/>
      <c r="AT2" s="98"/>
      <c r="AU2" s="98"/>
      <c r="AV2" s="98"/>
      <c r="AW2" s="98"/>
      <c r="AX2" s="98"/>
      <c r="AY2" s="98"/>
      <c r="AZ2" s="18"/>
    </row>
    <row r="3" spans="1:52" ht="21">
      <c r="A3" s="25" t="str">
        <f>_xll.IdPrj.AnalyzerFuncs.AnalyzerOLAPMember(U,"","BU00 - Business Unit West","","-524285.-524285.2","[Historized Scope]","000","H")</f>
        <v>BU00 - Business Unit West</v>
      </c>
      <c r="B3" s="29" t="str">
        <f t="shared" si="0"/>
        <v>BU00 - Business Unit West</v>
      </c>
      <c r="C3" s="96"/>
      <c r="D3" s="96"/>
      <c r="E3" s="96"/>
      <c r="F3" s="99"/>
      <c r="G3" s="98"/>
      <c r="H3" s="98"/>
      <c r="I3" s="98"/>
      <c r="J3" s="98"/>
      <c r="K3" s="98"/>
      <c r="L3" s="98"/>
      <c r="M3" s="98"/>
      <c r="N3" s="9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96"/>
      <c r="AN3" s="96"/>
      <c r="AO3" s="96"/>
      <c r="AP3" s="99"/>
      <c r="AQ3" s="98"/>
      <c r="AR3" s="98"/>
      <c r="AS3" s="98"/>
      <c r="AT3" s="98"/>
      <c r="AU3" s="98"/>
      <c r="AV3" s="98"/>
      <c r="AW3" s="98"/>
      <c r="AX3" s="98"/>
      <c r="AY3" s="98"/>
      <c r="AZ3" s="18"/>
    </row>
    <row r="4" spans="1:52" ht="21">
      <c r="A4" s="25" t="str">
        <f>_xll.IdPrj.AnalyzerFuncs.AnalyzerOLAPMember(ELI,"","CONS_DIV_LVL - Consolidated at Divisional level","","-1.-1.5","[Elimination]","000","H")</f>
        <v>CONS_DIV_LVL - Consolidated at Divisional level</v>
      </c>
      <c r="B4" s="29" t="str">
        <f t="shared" si="0"/>
        <v>CONS_DIV_LVL - Consolidated at Divisional level</v>
      </c>
      <c r="C4" s="96"/>
      <c r="D4" s="96"/>
      <c r="E4" s="96"/>
      <c r="F4" s="95"/>
      <c r="G4" s="97"/>
      <c r="H4" s="97"/>
      <c r="I4" s="97"/>
      <c r="J4" s="97"/>
      <c r="K4" s="97"/>
      <c r="L4" s="97"/>
      <c r="M4" s="97"/>
      <c r="N4" s="97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96"/>
      <c r="AN4" s="96"/>
      <c r="AO4" s="96"/>
      <c r="AP4" s="95"/>
      <c r="AQ4" s="97"/>
      <c r="AR4" s="97"/>
      <c r="AS4" s="97"/>
      <c r="AT4" s="97"/>
      <c r="AU4" s="97"/>
      <c r="AV4" s="97"/>
      <c r="AW4" s="97"/>
      <c r="AX4" s="97"/>
      <c r="AY4" s="97"/>
      <c r="AZ4" s="18"/>
    </row>
    <row r="5" spans="1:52" ht="21">
      <c r="A5" s="25" t="str">
        <f>_xll.IdPrj.AnalyzerFuncs.AnalyzerOLAPMember(VE,"","All","","AllIdent","[Version]","000","H")</f>
        <v>All</v>
      </c>
      <c r="B5" s="29" t="str">
        <f t="shared" si="0"/>
        <v>All</v>
      </c>
      <c r="C5" s="96"/>
      <c r="D5" s="96"/>
      <c r="E5" s="96"/>
      <c r="F5" s="95"/>
      <c r="G5" s="97"/>
      <c r="H5" s="97"/>
      <c r="I5" s="97"/>
      <c r="J5" s="97"/>
      <c r="K5" s="97"/>
      <c r="L5" s="97"/>
      <c r="M5" s="97"/>
      <c r="N5" s="97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96"/>
      <c r="AN5" s="96"/>
      <c r="AO5" s="96"/>
      <c r="AP5" s="95"/>
      <c r="AQ5" s="97"/>
      <c r="AR5" s="97"/>
      <c r="AS5" s="97"/>
      <c r="AT5" s="97"/>
      <c r="AU5" s="97"/>
      <c r="AV5" s="97"/>
      <c r="AW5" s="97"/>
      <c r="AX5" s="97"/>
      <c r="AY5" s="97"/>
      <c r="AZ5" s="18"/>
    </row>
    <row r="6" spans="1:52" ht="21">
      <c r="A6" s="25" t="str">
        <f>_xll.IdPrj.AnalyzerFuncs.AnalyzerOLAPMember(M,"","Consolidated Amount in K€","","Consolidated Amount in K€","[Measures]","000","H")</f>
        <v>Consolidated Amount in K€</v>
      </c>
      <c r="B6" s="29" t="str">
        <f t="shared" si="0"/>
        <v>Consolidated Amount in K€</v>
      </c>
      <c r="C6" s="18"/>
      <c r="D6" s="96"/>
      <c r="E6" s="96"/>
      <c r="F6" s="95"/>
      <c r="G6" s="94"/>
      <c r="H6" s="94"/>
      <c r="I6" s="94"/>
      <c r="J6" s="94"/>
      <c r="K6" s="94"/>
      <c r="L6" s="94"/>
      <c r="M6" s="94"/>
      <c r="N6" s="94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96"/>
      <c r="AO6" s="96"/>
      <c r="AP6" s="95"/>
      <c r="AQ6" s="94"/>
      <c r="AR6" s="94"/>
      <c r="AS6" s="94"/>
      <c r="AT6" s="94"/>
      <c r="AU6" s="94"/>
      <c r="AV6" s="94"/>
      <c r="AW6" s="94"/>
      <c r="AX6" s="94"/>
      <c r="AY6" s="94"/>
      <c r="AZ6" s="18"/>
    </row>
    <row r="7" spans="1:52" ht="8.25" customHeight="1">
      <c r="A7" s="25" t="s">
        <v>6</v>
      </c>
      <c r="B7" s="29" t="str">
        <f t="shared" si="0"/>
        <v/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ht="6.75" customHeight="1" thickBot="1">
      <c r="B8" s="9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ht="26.25" customHeight="1" thickBot="1">
      <c r="B9" s="92" t="s">
        <v>48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0"/>
    </row>
    <row r="10" spans="1:52" ht="15" customHeight="1"/>
    <row r="11" spans="1:52" ht="1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26"/>
      <c r="AZ11" s="18"/>
    </row>
    <row r="12" spans="1:52" ht="15" customHeight="1" thickBot="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26"/>
      <c r="AZ12" s="18"/>
    </row>
    <row r="13" spans="1:52" ht="15" hidden="1" customHeight="1" outlineLevel="1">
      <c r="B13" s="18"/>
      <c r="C13" s="18" t="str">
        <f>_xll.IdPrj.AnalyzerFuncs.AnalyzerOLAPMember("[Consolidations].[ACTUAL YTD]","","ACTUAL YTD","","AllIdent","[Consolidations]","000","A0")</f>
        <v>ACTUAL YTD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1"/>
      <c r="O13" s="18" t="str">
        <f>_xll.IdPrj.AnalyzerFuncs.AnalyzerOLAPMember("[Consolidations].[Consolidations].&amp;[3]&amp;[29646848]&amp;[1]&amp;[3]&amp;[45]","","FC - 2013.03 - HMY - DEF - EUR","","3.29646848.1.3.45","[Consolidations]","000","A0")</f>
        <v>FC - 2013.03 - HMY - DEF - EUR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 t="str">
        <f>_xll.IdPrj.AnalyzerFuncs.AnalyzerOLAPMember("[Consolidations].[BUDGET YTD]","","BUDGET YTD","","AllIdent","[Consolidations]","000","A0")</f>
        <v>BUDGET YTD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 t="str">
        <f>_xll.IdPrj.AnalyzerFuncs.AnalyzerOLAPMember("[Consolidations].[ACTUAL YTD N-1]","","ACTUAL YTD N-1","","AllIdent","[Consolidations]","000","A0")</f>
        <v>ACTUAL YTD N-1</v>
      </c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31"/>
      <c r="AY13" s="16" t="str">
        <f>_xll.IdPrj.AnalyzerFuncs.AnalyzerOLAPMember("[Consolidations].[FORECAST YTD N-1]","","FORECAST YTD N-1","","AllIdent","[Consolidations]","000","A0")</f>
        <v>FORECAST YTD N-1</v>
      </c>
      <c r="AZ13" s="18"/>
    </row>
    <row r="14" spans="1:52" s="89" customFormat="1" ht="15" hidden="1" customHeight="1" outlineLevel="1" thickBot="1">
      <c r="B14" s="27"/>
      <c r="C14" s="27" t="str">
        <f>_xll.IdPrj.AnalyzerFuncs.AnalyzerOLAPMember("[X02 - Month].[January]","","January","","AllIdent","[X02 - Month]","000","A1")</f>
        <v>January</v>
      </c>
      <c r="D14" s="27" t="str">
        <f>_xll.IdPrj.AnalyzerFuncs.AnalyzerOLAPMember("[X02 - Month].[February]","","February","","AllIdent","[X02 - Month]","000","A1")</f>
        <v>February</v>
      </c>
      <c r="E14" s="27" t="str">
        <f>_xll.IdPrj.AnalyzerFuncs.AnalyzerOLAPMember("[X02 - Month].[March]","","March","","AllIdent","[X02 - Month]","000","A1")</f>
        <v>March</v>
      </c>
      <c r="F14" s="27" t="str">
        <f>_xll.IdPrj.AnalyzerFuncs.AnalyzerOLAPMember("[X02 - Month].[April]","","April","","AllIdent","[X02 - Month]","000","A1")</f>
        <v>April</v>
      </c>
      <c r="G14" s="27" t="str">
        <f>_xll.IdPrj.AnalyzerFuncs.AnalyzerOLAPMember("[X02 - Month].[May]","","May","","AllIdent","[X02 - Month]","000","A1")</f>
        <v>May</v>
      </c>
      <c r="H14" s="27" t="str">
        <f>_xll.IdPrj.AnalyzerFuncs.AnalyzerOLAPMember("[X02 - Month].[June]","","June","","AllIdent","[X02 - Month]","000","A1")</f>
        <v>June</v>
      </c>
      <c r="I14" s="27" t="str">
        <f>_xll.IdPrj.AnalyzerFuncs.AnalyzerOLAPMember("[X02 - Month].[July]","","July","","AllIdent","[X02 - Month]","000","A1")</f>
        <v>July</v>
      </c>
      <c r="J14" s="27" t="str">
        <f>_xll.IdPrj.AnalyzerFuncs.AnalyzerOLAPMember("[X02 - Month].[August]","","August","","AllIdent","[X02 - Month]","000","A1")</f>
        <v>August</v>
      </c>
      <c r="K14" s="27" t="str">
        <f>_xll.IdPrj.AnalyzerFuncs.AnalyzerOLAPMember("[X02 - Month].[September]","","September","","AllIdent","[X02 - Month]","000","A1")</f>
        <v>September</v>
      </c>
      <c r="L14" s="27" t="str">
        <f>_xll.IdPrj.AnalyzerFuncs.AnalyzerOLAPMember("[X02 - Month].[October]","","October","","AllIdent","[X02 - Month]","000","A1")</f>
        <v>October</v>
      </c>
      <c r="M14" s="27" t="str">
        <f>_xll.IdPrj.AnalyzerFuncs.AnalyzerOLAPMember("[X02 - Month].[November]","","November","","AllIdent","[X02 - Month]","000","A1")</f>
        <v>November</v>
      </c>
      <c r="N14" s="28" t="str">
        <f>_xll.IdPrj.AnalyzerFuncs.AnalyzerOLAPMember("[X02 - Month].[December]","","December","","AllIdent","[X02 - Month]","000","A1")</f>
        <v>December</v>
      </c>
      <c r="O14" s="27" t="str">
        <f>_xll.IdPrj.AnalyzerFuncs.AnalyzerOLAPMember("[X02 - Month].[January]","","January","","AllIdent","[X02 - Month]","000","A1")</f>
        <v>January</v>
      </c>
      <c r="P14" s="27" t="str">
        <f>_xll.IdPrj.AnalyzerFuncs.AnalyzerOLAPMember("[X02 - Month].[February]","","February","","AllIdent","[X02 - Month]","000","A1")</f>
        <v>February</v>
      </c>
      <c r="Q14" s="27" t="str">
        <f>_xll.IdPrj.AnalyzerFuncs.AnalyzerOLAPMember("[X02 - Month].[March]","","March","","AllIdent","[X02 - Month]","000","A1")</f>
        <v>March</v>
      </c>
      <c r="R14" s="27" t="str">
        <f>_xll.IdPrj.AnalyzerFuncs.AnalyzerOLAPMember("[X02 - Month].[April]","","April","","AllIdent","[X02 - Month]","000","A1")</f>
        <v>April</v>
      </c>
      <c r="S14" s="27" t="str">
        <f>_xll.IdPrj.AnalyzerFuncs.AnalyzerOLAPMember("[X02 - Month].[May]","","May","","AllIdent","[X02 - Month]","000","A1")</f>
        <v>May</v>
      </c>
      <c r="T14" s="27" t="str">
        <f>_xll.IdPrj.AnalyzerFuncs.AnalyzerOLAPMember("[X02 - Month].[June]","","June","","AllIdent","[X02 - Month]","000","A1")</f>
        <v>June</v>
      </c>
      <c r="U14" s="27" t="str">
        <f>_xll.IdPrj.AnalyzerFuncs.AnalyzerOLAPMember("[X02 - Month].[July]","","July","","AllIdent","[X02 - Month]","000","A1")</f>
        <v>July</v>
      </c>
      <c r="V14" s="27" t="str">
        <f>_xll.IdPrj.AnalyzerFuncs.AnalyzerOLAPMember("[X02 - Month].[August]","","August","","AllIdent","[X02 - Month]","000","A1")</f>
        <v>August</v>
      </c>
      <c r="W14" s="27" t="str">
        <f>_xll.IdPrj.AnalyzerFuncs.AnalyzerOLAPMember("[X02 - Month].[September]","","September","","AllIdent","[X02 - Month]","000","A1")</f>
        <v>September</v>
      </c>
      <c r="X14" s="27" t="str">
        <f>_xll.IdPrj.AnalyzerFuncs.AnalyzerOLAPMember("[X02 - Month].[October]","","October","","AllIdent","[X02 - Month]","000","A1")</f>
        <v>October</v>
      </c>
      <c r="Y14" s="27" t="str">
        <f>_xll.IdPrj.AnalyzerFuncs.AnalyzerOLAPMember("[X02 - Month].[November]","","November","","AllIdent","[X02 - Month]","000","A1")</f>
        <v>November</v>
      </c>
      <c r="Z14" s="27" t="str">
        <f>_xll.IdPrj.AnalyzerFuncs.AnalyzerOLAPMember("[X02 - Month].[December]","","December","","AllIdent","[X02 - Month]","000","A1")</f>
        <v>December</v>
      </c>
      <c r="AA14" s="27" t="str">
        <f>_xll.IdPrj.AnalyzerFuncs.AnalyzerOLAPMember("[X02 - Month].[January]","","January","","AllIdent","[X02 - Month]","000","A1")</f>
        <v>January</v>
      </c>
      <c r="AB14" s="27" t="str">
        <f>_xll.IdPrj.AnalyzerFuncs.AnalyzerOLAPMember("[X02 - Month].[February]","","February","","AllIdent","[X02 - Month]","000","A1")</f>
        <v>February</v>
      </c>
      <c r="AC14" s="27" t="str">
        <f>_xll.IdPrj.AnalyzerFuncs.AnalyzerOLAPMember("[X02 - Month].[March]","","March","","AllIdent","[X02 - Month]","000","A1")</f>
        <v>March</v>
      </c>
      <c r="AD14" s="27" t="str">
        <f>_xll.IdPrj.AnalyzerFuncs.AnalyzerOLAPMember("[X02 - Month].[April]","","April","","AllIdent","[X02 - Month]","000","A1")</f>
        <v>April</v>
      </c>
      <c r="AE14" s="27" t="str">
        <f>_xll.IdPrj.AnalyzerFuncs.AnalyzerOLAPMember("[X02 - Month].[May]","","May","","AllIdent","[X02 - Month]","000","A1")</f>
        <v>May</v>
      </c>
      <c r="AF14" s="27" t="str">
        <f>_xll.IdPrj.AnalyzerFuncs.AnalyzerOLAPMember("[X02 - Month].[June]","","June","","AllIdent","[X02 - Month]","000","A1")</f>
        <v>June</v>
      </c>
      <c r="AG14" s="27" t="str">
        <f>_xll.IdPrj.AnalyzerFuncs.AnalyzerOLAPMember("[X02 - Month].[July]","","July","","AllIdent","[X02 - Month]","000","A1")</f>
        <v>July</v>
      </c>
      <c r="AH14" s="27" t="str">
        <f>_xll.IdPrj.AnalyzerFuncs.AnalyzerOLAPMember("[X02 - Month].[August]","","August","","AllIdent","[X02 - Month]","000","A1")</f>
        <v>August</v>
      </c>
      <c r="AI14" s="27" t="str">
        <f>_xll.IdPrj.AnalyzerFuncs.AnalyzerOLAPMember("[X02 - Month].[September]","","September","","AllIdent","[X02 - Month]","000","A1")</f>
        <v>September</v>
      </c>
      <c r="AJ14" s="27" t="str">
        <f>_xll.IdPrj.AnalyzerFuncs.AnalyzerOLAPMember("[X02 - Month].[October]","","October","","AllIdent","[X02 - Month]","000","A1")</f>
        <v>October</v>
      </c>
      <c r="AK14" s="27" t="str">
        <f>_xll.IdPrj.AnalyzerFuncs.AnalyzerOLAPMember("[X02 - Month].[November]","","November","","AllIdent","[X02 - Month]","000","A1")</f>
        <v>November</v>
      </c>
      <c r="AL14" s="27" t="str">
        <f>_xll.IdPrj.AnalyzerFuncs.AnalyzerOLAPMember("[X02 - Month].[December]","","December","","AllIdent","[X02 - Month]","000","A1")</f>
        <v>December</v>
      </c>
      <c r="AM14" s="27" t="str">
        <f>_xll.IdPrj.AnalyzerFuncs.AnalyzerOLAPMember("[X02 - Month].[January]","","January","","AllIdent","[X02 - Month]","000","A1")</f>
        <v>January</v>
      </c>
      <c r="AN14" s="27" t="str">
        <f>_xll.IdPrj.AnalyzerFuncs.AnalyzerOLAPMember("[X02 - Month].[February]","","February","","AllIdent","[X02 - Month]","000","A1")</f>
        <v>February</v>
      </c>
      <c r="AO14" s="27" t="str">
        <f>_xll.IdPrj.AnalyzerFuncs.AnalyzerOLAPMember("[X02 - Month].[March]","","March","","AllIdent","[X02 - Month]","000","A1")</f>
        <v>March</v>
      </c>
      <c r="AP14" s="27" t="str">
        <f>_xll.IdPrj.AnalyzerFuncs.AnalyzerOLAPMember("[X02 - Month].[April]","","April","","AllIdent","[X02 - Month]","000","A1")</f>
        <v>April</v>
      </c>
      <c r="AQ14" s="27" t="str">
        <f>_xll.IdPrj.AnalyzerFuncs.AnalyzerOLAPMember("[X02 - Month].[May]","","May","","AllIdent","[X02 - Month]","000","A1")</f>
        <v>May</v>
      </c>
      <c r="AR14" s="27" t="str">
        <f>_xll.IdPrj.AnalyzerFuncs.AnalyzerOLAPMember("[X02 - Month].[June]","","June","","AllIdent","[X02 - Month]","000","A1")</f>
        <v>June</v>
      </c>
      <c r="AS14" s="27" t="str">
        <f>_xll.IdPrj.AnalyzerFuncs.AnalyzerOLAPMember("[X02 - Month].[July]","","July","","AllIdent","[X02 - Month]","000","A1")</f>
        <v>July</v>
      </c>
      <c r="AT14" s="27" t="str">
        <f>_xll.IdPrj.AnalyzerFuncs.AnalyzerOLAPMember("[X02 - Month].[August]","","August","","AllIdent","[X02 - Month]","000","A1")</f>
        <v>August</v>
      </c>
      <c r="AU14" s="27" t="str">
        <f>_xll.IdPrj.AnalyzerFuncs.AnalyzerOLAPMember("[X02 - Month].[September]","","September","","AllIdent","[X02 - Month]","000","A1")</f>
        <v>September</v>
      </c>
      <c r="AV14" s="27" t="str">
        <f>_xll.IdPrj.AnalyzerFuncs.AnalyzerOLAPMember("[X02 - Month].[October]","","October","","AllIdent","[X02 - Month]","000","A1")</f>
        <v>October</v>
      </c>
      <c r="AW14" s="27" t="str">
        <f>_xll.IdPrj.AnalyzerFuncs.AnalyzerOLAPMember("[X02 - Month].[November]","","November","","AllIdent","[X02 - Month]","000","A1")</f>
        <v>November</v>
      </c>
      <c r="AX14" s="28" t="str">
        <f>_xll.IdPrj.AnalyzerFuncs.AnalyzerOLAPMember("[X02 - Month].[December]","","December","","AllIdent","[X02 - Month]","000","A1")</f>
        <v>December</v>
      </c>
      <c r="AY14" s="28" t="str">
        <f>_xll.IdPrj.AnalyzerFuncs.AnalyzerOLAPMember("[X02 - Month].[X02 - Month].&amp;[0]","","DO NOT USE","","-524278.-524278.0","[X02 - Month]","000","A1")</f>
        <v>DO NOT USE</v>
      </c>
      <c r="AZ14" s="27"/>
    </row>
    <row r="15" spans="1:52" s="40" customFormat="1" ht="18" customHeight="1" collapsed="1">
      <c r="B15" s="78" t="s">
        <v>47</v>
      </c>
      <c r="C15" s="299" t="str">
        <f>+"31-01-"&amp;MID($A$1,3,2)</f>
        <v>31-01-13</v>
      </c>
      <c r="D15" s="300" t="str">
        <f>+"29-02-"&amp;MID($A$1,3,2)</f>
        <v>29-02-13</v>
      </c>
      <c r="E15" s="300" t="str">
        <f>+"31-03-"&amp;MID($A$1,3,2)</f>
        <v>31-03-13</v>
      </c>
      <c r="F15" s="317" t="str">
        <f>+"30-04-"&amp;MID($A$1,3,2)</f>
        <v>30-04-13</v>
      </c>
      <c r="G15" s="300" t="str">
        <f>+"31-05-"&amp;MID($A$1,3,2)</f>
        <v>31-05-13</v>
      </c>
      <c r="H15" s="300" t="str">
        <f>+"30-06-"&amp;MID($A$1,3,2)</f>
        <v>30-06-13</v>
      </c>
      <c r="I15" s="300" t="str">
        <f>+"31-07-"&amp;MID($A$1,3,2)</f>
        <v>31-07-13</v>
      </c>
      <c r="J15" s="300" t="str">
        <f>+"31-08-"&amp;MID($A$1,3,2)</f>
        <v>31-08-13</v>
      </c>
      <c r="K15" s="300" t="str">
        <f>+"30-09-"&amp;MID($A$1,3,2)</f>
        <v>30-09-13</v>
      </c>
      <c r="L15" s="300" t="str">
        <f>+"31-10-"&amp;MID($A$1,3,2)</f>
        <v>31-10-13</v>
      </c>
      <c r="M15" s="300" t="str">
        <f>+"30-11-"&amp;MID($A$1,3,2)</f>
        <v>30-11-13</v>
      </c>
      <c r="N15" s="301" t="str">
        <f>+"31-12-"&amp;MID($A$1,3,2)</f>
        <v>31-12-13</v>
      </c>
      <c r="O15" s="299" t="str">
        <f>+"31-01-"&amp;MID($A$1,3,2)</f>
        <v>31-01-13</v>
      </c>
      <c r="P15" s="300" t="str">
        <f>+"29-02-"&amp;MID($A$1,3,2)</f>
        <v>29-02-13</v>
      </c>
      <c r="Q15" s="300" t="str">
        <f>+"31-03-"&amp;MID($A$1,3,2)-2</f>
        <v>31-03-11</v>
      </c>
      <c r="R15" s="300" t="str">
        <f>+"30-04-"&amp;MID($A$1,3,2)</f>
        <v>30-04-13</v>
      </c>
      <c r="S15" s="300" t="str">
        <f>+"31-05-"&amp;MID($A$1,3,2)</f>
        <v>31-05-13</v>
      </c>
      <c r="T15" s="300" t="str">
        <f>+"30-06-"&amp;MID($A$1,3,2)</f>
        <v>30-06-13</v>
      </c>
      <c r="U15" s="300" t="str">
        <f>+"31-07-"&amp;MID($A$1,3,2)</f>
        <v>31-07-13</v>
      </c>
      <c r="V15" s="300" t="str">
        <f>+"31-08-"&amp;MID($A$1,3,2)</f>
        <v>31-08-13</v>
      </c>
      <c r="W15" s="300" t="str">
        <f>+"30-09-"&amp;MID($A$1,3,2)</f>
        <v>30-09-13</v>
      </c>
      <c r="X15" s="300" t="str">
        <f>+"31-10-"&amp;MID($A$1,3,2)</f>
        <v>31-10-13</v>
      </c>
      <c r="Y15" s="300" t="str">
        <f>+"30-11-"&amp;MID($A$1,3,2)</f>
        <v>30-11-13</v>
      </c>
      <c r="Z15" s="301" t="str">
        <f>+"31-12-"&amp;MID($A$1,3,2)</f>
        <v>31-12-13</v>
      </c>
      <c r="AA15" s="299" t="str">
        <f>+"31-01-"&amp;MID($A$1,3,2)</f>
        <v>31-01-13</v>
      </c>
      <c r="AB15" s="300" t="str">
        <f>+"29-02-"&amp;MID($A$1,3,2)</f>
        <v>29-02-13</v>
      </c>
      <c r="AC15" s="300" t="str">
        <f>+"31-03-"&amp;MID($A$1,3,2)-2</f>
        <v>31-03-11</v>
      </c>
      <c r="AD15" s="300" t="str">
        <f>+"30-04-"&amp;MID($A$1,3,2)</f>
        <v>30-04-13</v>
      </c>
      <c r="AE15" s="300" t="str">
        <f>+"31-05-"&amp;MID($A$1,3,2)</f>
        <v>31-05-13</v>
      </c>
      <c r="AF15" s="300" t="str">
        <f>+"30-06-"&amp;MID($A$1,3,2)</f>
        <v>30-06-13</v>
      </c>
      <c r="AG15" s="300" t="str">
        <f>+"31-07-"&amp;MID($A$1,3,2)</f>
        <v>31-07-13</v>
      </c>
      <c r="AH15" s="300" t="str">
        <f>+"31-08-"&amp;MID($A$1,3,2)</f>
        <v>31-08-13</v>
      </c>
      <c r="AI15" s="300" t="str">
        <f>+"30-09-"&amp;MID($A$1,3,2)</f>
        <v>30-09-13</v>
      </c>
      <c r="AJ15" s="300" t="str">
        <f>+"31-10-"&amp;MID($A$1,3,2)</f>
        <v>31-10-13</v>
      </c>
      <c r="AK15" s="300" t="str">
        <f>+"30-11-"&amp;MID($A$1,3,2)</f>
        <v>30-11-13</v>
      </c>
      <c r="AL15" s="301" t="str">
        <f>+"31-12-"&amp;MID($A$1,3,2)</f>
        <v>31-12-13</v>
      </c>
      <c r="AM15" s="299" t="str">
        <f>+"31-01-"&amp;MID($A$1,3,2)-1</f>
        <v>31-01-12</v>
      </c>
      <c r="AN15" s="300" t="str">
        <f>+"29-02-"&amp;MID($A$1,3,2)-1</f>
        <v>29-02-12</v>
      </c>
      <c r="AO15" s="300" t="str">
        <f>+"31-03-"&amp;MID($A$1,3,2)-1</f>
        <v>31-03-12</v>
      </c>
      <c r="AP15" s="300" t="str">
        <f>+"30-04-"&amp;MID($A$1,3,2)-1</f>
        <v>30-04-12</v>
      </c>
      <c r="AQ15" s="300" t="str">
        <f>+"31-05-"&amp;MID($A$1,3,2)-1</f>
        <v>31-05-12</v>
      </c>
      <c r="AR15" s="300" t="str">
        <f>+"30-06-"&amp;MID($A$1,3,2)-1</f>
        <v>30-06-12</v>
      </c>
      <c r="AS15" s="300" t="str">
        <f>+"31-07-"&amp;MID($A$1,3,2)-1</f>
        <v>31-07-12</v>
      </c>
      <c r="AT15" s="300" t="str">
        <f>+"31-08-"&amp;MID($A$1,3,2)-1</f>
        <v>31-08-12</v>
      </c>
      <c r="AU15" s="300" t="str">
        <f>+"30-09-"&amp;MID($A$1,3,2)-1</f>
        <v>30-09-12</v>
      </c>
      <c r="AV15" s="300" t="str">
        <f>+"31-10-"&amp;MID($A$1,3,2)-1</f>
        <v>31-10-12</v>
      </c>
      <c r="AW15" s="300" t="str">
        <f>+"30-11-"&amp;MID($A$1,3,2)-1</f>
        <v>30-11-12</v>
      </c>
      <c r="AX15" s="301" t="str">
        <f>+"31-12-"&amp;MID($A$1,3,2)-1</f>
        <v>31-12-12</v>
      </c>
      <c r="AY15" s="302" t="str">
        <f>+"31-12-"&amp;MID($A$1,3,2)-1</f>
        <v>31-12-12</v>
      </c>
    </row>
    <row r="16" spans="1:52" s="87" customFormat="1" ht="18" customHeight="1" thickBot="1">
      <c r="B16" s="88"/>
      <c r="C16" s="303" t="s">
        <v>7</v>
      </c>
      <c r="D16" s="304" t="s">
        <v>7</v>
      </c>
      <c r="E16" s="304" t="s">
        <v>7</v>
      </c>
      <c r="F16" s="318" t="s">
        <v>7</v>
      </c>
      <c r="G16" s="304" t="s">
        <v>7</v>
      </c>
      <c r="H16" s="304" t="s">
        <v>7</v>
      </c>
      <c r="I16" s="304" t="s">
        <v>7</v>
      </c>
      <c r="J16" s="304" t="s">
        <v>7</v>
      </c>
      <c r="K16" s="304" t="s">
        <v>7</v>
      </c>
      <c r="L16" s="304" t="s">
        <v>7</v>
      </c>
      <c r="M16" s="304" t="s">
        <v>7</v>
      </c>
      <c r="N16" s="305" t="s">
        <v>7</v>
      </c>
      <c r="O16" s="248" t="s">
        <v>145</v>
      </c>
      <c r="P16" s="249" t="s">
        <v>145</v>
      </c>
      <c r="Q16" s="249" t="s">
        <v>145</v>
      </c>
      <c r="R16" s="249" t="s">
        <v>145</v>
      </c>
      <c r="S16" s="249" t="s">
        <v>145</v>
      </c>
      <c r="T16" s="249" t="s">
        <v>145</v>
      </c>
      <c r="U16" s="249" t="s">
        <v>145</v>
      </c>
      <c r="V16" s="249" t="s">
        <v>145</v>
      </c>
      <c r="W16" s="249" t="s">
        <v>145</v>
      </c>
      <c r="X16" s="249" t="s">
        <v>145</v>
      </c>
      <c r="Y16" s="249" t="s">
        <v>145</v>
      </c>
      <c r="Z16" s="250" t="s">
        <v>145</v>
      </c>
      <c r="AA16" s="303" t="s">
        <v>9</v>
      </c>
      <c r="AB16" s="304" t="s">
        <v>9</v>
      </c>
      <c r="AC16" s="304" t="s">
        <v>9</v>
      </c>
      <c r="AD16" s="304" t="s">
        <v>9</v>
      </c>
      <c r="AE16" s="304" t="s">
        <v>9</v>
      </c>
      <c r="AF16" s="304" t="s">
        <v>9</v>
      </c>
      <c r="AG16" s="304" t="s">
        <v>9</v>
      </c>
      <c r="AH16" s="304" t="s">
        <v>9</v>
      </c>
      <c r="AI16" s="304" t="s">
        <v>9</v>
      </c>
      <c r="AJ16" s="304" t="s">
        <v>9</v>
      </c>
      <c r="AK16" s="304" t="s">
        <v>9</v>
      </c>
      <c r="AL16" s="305" t="s">
        <v>9</v>
      </c>
      <c r="AM16" s="303" t="s">
        <v>7</v>
      </c>
      <c r="AN16" s="304" t="s">
        <v>7</v>
      </c>
      <c r="AO16" s="304" t="s">
        <v>7</v>
      </c>
      <c r="AP16" s="304" t="s">
        <v>7</v>
      </c>
      <c r="AQ16" s="304" t="s">
        <v>7</v>
      </c>
      <c r="AR16" s="304" t="s">
        <v>7</v>
      </c>
      <c r="AS16" s="304" t="s">
        <v>7</v>
      </c>
      <c r="AT16" s="304" t="s">
        <v>7</v>
      </c>
      <c r="AU16" s="304" t="s">
        <v>7</v>
      </c>
      <c r="AV16" s="304" t="s">
        <v>7</v>
      </c>
      <c r="AW16" s="304" t="s">
        <v>7</v>
      </c>
      <c r="AX16" s="305" t="s">
        <v>7</v>
      </c>
      <c r="AY16" s="306" t="s">
        <v>26</v>
      </c>
    </row>
    <row r="17" spans="2:52" s="40" customFormat="1" ht="21" customHeight="1">
      <c r="B17" s="307" t="s">
        <v>46</v>
      </c>
      <c r="C17" s="265">
        <f t="shared" ref="C17:AL17" si="1">C80+C89+C86</f>
        <v>4669.8994000000002</v>
      </c>
      <c r="D17" s="266">
        <f t="shared" si="1"/>
        <v>3738.3320800000001</v>
      </c>
      <c r="E17" s="266">
        <f t="shared" si="1"/>
        <v>3192.7075800000002</v>
      </c>
      <c r="F17" s="319">
        <f t="shared" si="1"/>
        <v>2743.6820400000001</v>
      </c>
      <c r="G17" s="266">
        <f t="shared" si="1"/>
        <v>0</v>
      </c>
      <c r="H17" s="266">
        <f t="shared" si="1"/>
        <v>0</v>
      </c>
      <c r="I17" s="266">
        <f t="shared" si="1"/>
        <v>0</v>
      </c>
      <c r="J17" s="266">
        <f t="shared" si="1"/>
        <v>0</v>
      </c>
      <c r="K17" s="266">
        <f t="shared" si="1"/>
        <v>0</v>
      </c>
      <c r="L17" s="266">
        <f t="shared" si="1"/>
        <v>0</v>
      </c>
      <c r="M17" s="266">
        <f t="shared" si="1"/>
        <v>0</v>
      </c>
      <c r="N17" s="267">
        <f t="shared" si="1"/>
        <v>0</v>
      </c>
      <c r="O17" s="265">
        <f t="shared" ref="O17:Z17" si="2">O80+O89+O86</f>
        <v>4669.8994000000002</v>
      </c>
      <c r="P17" s="266">
        <f t="shared" si="2"/>
        <v>3738.3320800000001</v>
      </c>
      <c r="Q17" s="266">
        <f t="shared" si="2"/>
        <v>3192.7075800000002</v>
      </c>
      <c r="R17" s="266">
        <f t="shared" si="2"/>
        <v>3769.319</v>
      </c>
      <c r="S17" s="266">
        <f t="shared" si="2"/>
        <v>3696.529</v>
      </c>
      <c r="T17" s="266">
        <f t="shared" si="2"/>
        <v>3464.2890000000002</v>
      </c>
      <c r="U17" s="266">
        <f t="shared" si="2"/>
        <v>3731.9690000000001</v>
      </c>
      <c r="V17" s="266">
        <f t="shared" si="2"/>
        <v>3228.509</v>
      </c>
      <c r="W17" s="266">
        <f t="shared" si="2"/>
        <v>2819.3989999999999</v>
      </c>
      <c r="X17" s="266">
        <f t="shared" si="2"/>
        <v>2777.4790000000003</v>
      </c>
      <c r="Y17" s="266">
        <f t="shared" si="2"/>
        <v>2410.549</v>
      </c>
      <c r="Z17" s="267">
        <f t="shared" si="2"/>
        <v>2394.8789999999999</v>
      </c>
      <c r="AA17" s="265">
        <f t="shared" si="1"/>
        <v>4874.7890000000007</v>
      </c>
      <c r="AB17" s="266">
        <f t="shared" si="1"/>
        <v>4908.1990000000005</v>
      </c>
      <c r="AC17" s="266">
        <f t="shared" si="1"/>
        <v>4782.6990000000005</v>
      </c>
      <c r="AD17" s="266">
        <f t="shared" si="1"/>
        <v>4736.7690000000002</v>
      </c>
      <c r="AE17" s="266">
        <f t="shared" si="1"/>
        <v>4796.9790000000003</v>
      </c>
      <c r="AF17" s="266">
        <f t="shared" si="1"/>
        <v>4697.7390000000005</v>
      </c>
      <c r="AG17" s="266">
        <f t="shared" si="1"/>
        <v>5326.2609999999995</v>
      </c>
      <c r="AH17" s="266">
        <f t="shared" si="1"/>
        <v>4753.8009999999995</v>
      </c>
      <c r="AI17" s="266">
        <f t="shared" si="1"/>
        <v>4460.6909999999998</v>
      </c>
      <c r="AJ17" s="266">
        <f t="shared" si="1"/>
        <v>4314.7709999999997</v>
      </c>
      <c r="AK17" s="266">
        <f t="shared" si="1"/>
        <v>4168.8410000000003</v>
      </c>
      <c r="AL17" s="267">
        <f t="shared" si="1"/>
        <v>4149.1710000000003</v>
      </c>
      <c r="AM17" s="265">
        <f t="shared" ref="AM17:AY17" si="3">AM80+AM89+AM86</f>
        <v>0</v>
      </c>
      <c r="AN17" s="266">
        <f t="shared" si="3"/>
        <v>6653.1480000000001</v>
      </c>
      <c r="AO17" s="266">
        <f t="shared" si="3"/>
        <v>5867.3450000000003</v>
      </c>
      <c r="AP17" s="266">
        <f t="shared" si="3"/>
        <v>5785.9989999999998</v>
      </c>
      <c r="AQ17" s="266">
        <f t="shared" si="3"/>
        <v>5840.5450000000001</v>
      </c>
      <c r="AR17" s="266">
        <f t="shared" si="3"/>
        <v>5769.0380000000005</v>
      </c>
      <c r="AS17" s="266">
        <f t="shared" si="3"/>
        <v>6565.0570000000007</v>
      </c>
      <c r="AT17" s="266">
        <f t="shared" si="3"/>
        <v>5833.2109999999993</v>
      </c>
      <c r="AU17" s="266">
        <f t="shared" si="3"/>
        <v>5454.1110000000008</v>
      </c>
      <c r="AV17" s="266">
        <f t="shared" si="3"/>
        <v>5241.74</v>
      </c>
      <c r="AW17" s="266">
        <f t="shared" si="3"/>
        <v>4689.0959999999995</v>
      </c>
      <c r="AX17" s="267">
        <f t="shared" si="3"/>
        <v>3920.6917000000003</v>
      </c>
      <c r="AY17" s="268">
        <f t="shared" si="3"/>
        <v>4768.0590000000002</v>
      </c>
      <c r="AZ17" s="82"/>
    </row>
    <row r="18" spans="2:52" s="40" customFormat="1" ht="21" customHeight="1">
      <c r="B18" s="308" t="s">
        <v>45</v>
      </c>
      <c r="C18" s="265">
        <f t="shared" ref="C18:AL18" si="4">C82+C91</f>
        <v>598.59289999999999</v>
      </c>
      <c r="D18" s="269">
        <f t="shared" si="4"/>
        <v>1135.8820799999999</v>
      </c>
      <c r="E18" s="269">
        <f t="shared" si="4"/>
        <v>1095.71165</v>
      </c>
      <c r="F18" s="268">
        <f t="shared" si="4"/>
        <v>1263.9016599999998</v>
      </c>
      <c r="G18" s="269">
        <f t="shared" si="4"/>
        <v>0</v>
      </c>
      <c r="H18" s="269">
        <f t="shared" si="4"/>
        <v>0</v>
      </c>
      <c r="I18" s="269">
        <f t="shared" si="4"/>
        <v>0</v>
      </c>
      <c r="J18" s="269">
        <f t="shared" si="4"/>
        <v>0</v>
      </c>
      <c r="K18" s="269">
        <f t="shared" si="4"/>
        <v>0</v>
      </c>
      <c r="L18" s="269">
        <f t="shared" si="4"/>
        <v>0</v>
      </c>
      <c r="M18" s="269">
        <f t="shared" si="4"/>
        <v>0</v>
      </c>
      <c r="N18" s="270">
        <f t="shared" si="4"/>
        <v>0</v>
      </c>
      <c r="O18" s="265">
        <f t="shared" ref="O18:Z18" si="5">O82+O91</f>
        <v>598.59289999999999</v>
      </c>
      <c r="P18" s="269">
        <f t="shared" si="5"/>
        <v>1135.8820799999999</v>
      </c>
      <c r="Q18" s="269">
        <f t="shared" si="5"/>
        <v>1095.71165</v>
      </c>
      <c r="R18" s="269">
        <f t="shared" si="5"/>
        <v>1018.4590000000001</v>
      </c>
      <c r="S18" s="269">
        <f t="shared" si="5"/>
        <v>1024.029</v>
      </c>
      <c r="T18" s="269">
        <f t="shared" si="5"/>
        <v>1015.769</v>
      </c>
      <c r="U18" s="269">
        <f t="shared" si="5"/>
        <v>1019.039</v>
      </c>
      <c r="V18" s="269">
        <f t="shared" si="5"/>
        <v>1013.0989999999999</v>
      </c>
      <c r="W18" s="269">
        <f t="shared" si="5"/>
        <v>1014.059</v>
      </c>
      <c r="X18" s="269">
        <f t="shared" si="5"/>
        <v>1010.4190000000001</v>
      </c>
      <c r="Y18" s="269">
        <f t="shared" si="5"/>
        <v>1006.779</v>
      </c>
      <c r="Z18" s="270">
        <f t="shared" si="5"/>
        <v>1005.3989999999999</v>
      </c>
      <c r="AA18" s="265">
        <f t="shared" si="4"/>
        <v>698.03800000000001</v>
      </c>
      <c r="AB18" s="269">
        <f t="shared" si="4"/>
        <v>701.298</v>
      </c>
      <c r="AC18" s="269">
        <f t="shared" si="4"/>
        <v>690.76800000000003</v>
      </c>
      <c r="AD18" s="269">
        <f t="shared" si="4"/>
        <v>687.12800000000004</v>
      </c>
      <c r="AE18" s="269">
        <f t="shared" si="4"/>
        <v>692.69799999999998</v>
      </c>
      <c r="AF18" s="269">
        <f t="shared" si="4"/>
        <v>684.43799999999999</v>
      </c>
      <c r="AG18" s="269">
        <f t="shared" si="4"/>
        <v>687.70800000000008</v>
      </c>
      <c r="AH18" s="269">
        <f t="shared" si="4"/>
        <v>681.76800000000003</v>
      </c>
      <c r="AI18" s="269">
        <f t="shared" si="4"/>
        <v>682.72800000000007</v>
      </c>
      <c r="AJ18" s="269">
        <f t="shared" si="4"/>
        <v>679.08800000000008</v>
      </c>
      <c r="AK18" s="269">
        <f t="shared" si="4"/>
        <v>675.44799999999998</v>
      </c>
      <c r="AL18" s="270">
        <f t="shared" si="4"/>
        <v>374.06799999999998</v>
      </c>
      <c r="AM18" s="265">
        <f t="shared" ref="AM18:AY18" si="6">AM82+AM91</f>
        <v>0</v>
      </c>
      <c r="AN18" s="269">
        <f t="shared" si="6"/>
        <v>1366.8720000000001</v>
      </c>
      <c r="AO18" s="269">
        <f t="shared" si="6"/>
        <v>1200.74</v>
      </c>
      <c r="AP18" s="269">
        <f t="shared" si="6"/>
        <v>1114.3430000000001</v>
      </c>
      <c r="AQ18" s="269">
        <f t="shared" si="6"/>
        <v>1271.796</v>
      </c>
      <c r="AR18" s="269">
        <f t="shared" si="6"/>
        <v>1223.7240000000002</v>
      </c>
      <c r="AS18" s="269">
        <f t="shared" si="6"/>
        <v>1329.61851</v>
      </c>
      <c r="AT18" s="269">
        <f t="shared" si="6"/>
        <v>1140.115</v>
      </c>
      <c r="AU18" s="269">
        <f t="shared" si="6"/>
        <v>1078.5940000000001</v>
      </c>
      <c r="AV18" s="269">
        <f t="shared" si="6"/>
        <v>925.33800000000008</v>
      </c>
      <c r="AW18" s="269">
        <f t="shared" si="6"/>
        <v>804.30899999999997</v>
      </c>
      <c r="AX18" s="270">
        <f t="shared" si="6"/>
        <v>576.45390000000009</v>
      </c>
      <c r="AY18" s="268">
        <f t="shared" si="6"/>
        <v>390.178</v>
      </c>
      <c r="AZ18" s="82"/>
    </row>
    <row r="19" spans="2:52" s="40" customFormat="1" ht="21" customHeight="1">
      <c r="B19" s="308" t="s">
        <v>44</v>
      </c>
      <c r="C19" s="265">
        <f t="shared" ref="C19:AL19" si="7">C83+C92</f>
        <v>0</v>
      </c>
      <c r="D19" s="269">
        <f t="shared" si="7"/>
        <v>0</v>
      </c>
      <c r="E19" s="269">
        <f t="shared" si="7"/>
        <v>0</v>
      </c>
      <c r="F19" s="268">
        <f t="shared" si="7"/>
        <v>0</v>
      </c>
      <c r="G19" s="269">
        <f t="shared" si="7"/>
        <v>0</v>
      </c>
      <c r="H19" s="269">
        <f t="shared" si="7"/>
        <v>0</v>
      </c>
      <c r="I19" s="269">
        <f t="shared" si="7"/>
        <v>0</v>
      </c>
      <c r="J19" s="269">
        <f t="shared" si="7"/>
        <v>0</v>
      </c>
      <c r="K19" s="269">
        <f t="shared" si="7"/>
        <v>0</v>
      </c>
      <c r="L19" s="269">
        <f t="shared" si="7"/>
        <v>0</v>
      </c>
      <c r="M19" s="269">
        <f t="shared" si="7"/>
        <v>0</v>
      </c>
      <c r="N19" s="270">
        <f t="shared" si="7"/>
        <v>0</v>
      </c>
      <c r="O19" s="265">
        <f t="shared" ref="O19:Z19" si="8">O83+O92</f>
        <v>0</v>
      </c>
      <c r="P19" s="269">
        <f t="shared" si="8"/>
        <v>0</v>
      </c>
      <c r="Q19" s="269">
        <f t="shared" si="8"/>
        <v>0</v>
      </c>
      <c r="R19" s="269">
        <f t="shared" si="8"/>
        <v>0</v>
      </c>
      <c r="S19" s="269">
        <f t="shared" si="8"/>
        <v>0</v>
      </c>
      <c r="T19" s="269">
        <f t="shared" si="8"/>
        <v>0</v>
      </c>
      <c r="U19" s="269">
        <f t="shared" si="8"/>
        <v>0</v>
      </c>
      <c r="V19" s="269">
        <f t="shared" si="8"/>
        <v>0</v>
      </c>
      <c r="W19" s="269">
        <f t="shared" si="8"/>
        <v>0</v>
      </c>
      <c r="X19" s="269">
        <f t="shared" si="8"/>
        <v>0</v>
      </c>
      <c r="Y19" s="269">
        <f t="shared" si="8"/>
        <v>0</v>
      </c>
      <c r="Z19" s="270">
        <f t="shared" si="8"/>
        <v>0</v>
      </c>
      <c r="AA19" s="265">
        <f t="shared" si="7"/>
        <v>0</v>
      </c>
      <c r="AB19" s="269">
        <f t="shared" si="7"/>
        <v>0</v>
      </c>
      <c r="AC19" s="269">
        <f t="shared" si="7"/>
        <v>0</v>
      </c>
      <c r="AD19" s="269">
        <f t="shared" si="7"/>
        <v>0</v>
      </c>
      <c r="AE19" s="269">
        <f t="shared" si="7"/>
        <v>0</v>
      </c>
      <c r="AF19" s="269">
        <f t="shared" si="7"/>
        <v>0</v>
      </c>
      <c r="AG19" s="269">
        <f t="shared" si="7"/>
        <v>0</v>
      </c>
      <c r="AH19" s="269">
        <f t="shared" si="7"/>
        <v>0</v>
      </c>
      <c r="AI19" s="269">
        <f t="shared" si="7"/>
        <v>0</v>
      </c>
      <c r="AJ19" s="269">
        <f t="shared" si="7"/>
        <v>0</v>
      </c>
      <c r="AK19" s="269">
        <f t="shared" si="7"/>
        <v>0</v>
      </c>
      <c r="AL19" s="270">
        <f t="shared" si="7"/>
        <v>0</v>
      </c>
      <c r="AM19" s="265">
        <f t="shared" ref="AM19:AY19" si="9">AM83+AM92</f>
        <v>0</v>
      </c>
      <c r="AN19" s="269">
        <f t="shared" si="9"/>
        <v>0</v>
      </c>
      <c r="AO19" s="269">
        <f t="shared" si="9"/>
        <v>0</v>
      </c>
      <c r="AP19" s="269">
        <f t="shared" si="9"/>
        <v>0</v>
      </c>
      <c r="AQ19" s="269">
        <f t="shared" si="9"/>
        <v>0</v>
      </c>
      <c r="AR19" s="269">
        <f t="shared" si="9"/>
        <v>0</v>
      </c>
      <c r="AS19" s="269">
        <f t="shared" si="9"/>
        <v>0</v>
      </c>
      <c r="AT19" s="269">
        <f t="shared" si="9"/>
        <v>0</v>
      </c>
      <c r="AU19" s="269">
        <f t="shared" si="9"/>
        <v>0</v>
      </c>
      <c r="AV19" s="269">
        <f t="shared" si="9"/>
        <v>0</v>
      </c>
      <c r="AW19" s="269">
        <f t="shared" si="9"/>
        <v>0</v>
      </c>
      <c r="AX19" s="270">
        <f t="shared" si="9"/>
        <v>0</v>
      </c>
      <c r="AY19" s="268">
        <f t="shared" si="9"/>
        <v>0</v>
      </c>
      <c r="AZ19" s="82"/>
    </row>
    <row r="20" spans="2:52" s="40" customFormat="1" ht="21" customHeight="1" thickBot="1">
      <c r="B20" s="309" t="s">
        <v>43</v>
      </c>
      <c r="C20" s="265">
        <f t="shared" ref="C20:AL20" si="10">C81+C84+C85+C87+C90+C93+C94</f>
        <v>10220.467520000002</v>
      </c>
      <c r="D20" s="269">
        <f t="shared" si="10"/>
        <v>11280.962190000002</v>
      </c>
      <c r="E20" s="269">
        <f t="shared" si="10"/>
        <v>11583.638429999999</v>
      </c>
      <c r="F20" s="268">
        <f t="shared" si="10"/>
        <v>11061.90012</v>
      </c>
      <c r="G20" s="269">
        <f t="shared" si="10"/>
        <v>0</v>
      </c>
      <c r="H20" s="269">
        <f t="shared" si="10"/>
        <v>0</v>
      </c>
      <c r="I20" s="269">
        <f t="shared" si="10"/>
        <v>0</v>
      </c>
      <c r="J20" s="269">
        <f t="shared" si="10"/>
        <v>0</v>
      </c>
      <c r="K20" s="269">
        <f t="shared" si="10"/>
        <v>0</v>
      </c>
      <c r="L20" s="269">
        <f t="shared" si="10"/>
        <v>0</v>
      </c>
      <c r="M20" s="269">
        <f t="shared" si="10"/>
        <v>0</v>
      </c>
      <c r="N20" s="270">
        <f t="shared" si="10"/>
        <v>0</v>
      </c>
      <c r="O20" s="265">
        <f t="shared" ref="O20:Z20" si="11">O81+O84+O85+O87+O90+O93+O94</f>
        <v>10220.467520000002</v>
      </c>
      <c r="P20" s="269">
        <f t="shared" si="11"/>
        <v>11280.962190000002</v>
      </c>
      <c r="Q20" s="269">
        <f t="shared" si="11"/>
        <v>11583.638429999999</v>
      </c>
      <c r="R20" s="269">
        <f t="shared" si="11"/>
        <v>11098.597000000002</v>
      </c>
      <c r="S20" s="269">
        <f t="shared" si="11"/>
        <v>11243.607</v>
      </c>
      <c r="T20" s="269">
        <f t="shared" si="11"/>
        <v>10921.957000000002</v>
      </c>
      <c r="U20" s="269">
        <f t="shared" si="11"/>
        <v>11566.427000000001</v>
      </c>
      <c r="V20" s="269">
        <f t="shared" si="11"/>
        <v>11115.167000000001</v>
      </c>
      <c r="W20" s="269">
        <f t="shared" si="11"/>
        <v>10812.747000000001</v>
      </c>
      <c r="X20" s="269">
        <f t="shared" si="11"/>
        <v>9829.6470000000008</v>
      </c>
      <c r="Y20" s="269">
        <f t="shared" si="11"/>
        <v>9255.9570000000022</v>
      </c>
      <c r="Z20" s="270">
        <f t="shared" si="11"/>
        <v>9218.1370000000024</v>
      </c>
      <c r="AA20" s="265">
        <f t="shared" si="10"/>
        <v>10768.743999999999</v>
      </c>
      <c r="AB20" s="269">
        <f t="shared" si="10"/>
        <v>10863.513999999997</v>
      </c>
      <c r="AC20" s="269">
        <f t="shared" si="10"/>
        <v>10531.903999999999</v>
      </c>
      <c r="AD20" s="269">
        <f t="shared" si="10"/>
        <v>10413.823999999999</v>
      </c>
      <c r="AE20" s="269">
        <f t="shared" si="10"/>
        <v>10580.483999999999</v>
      </c>
      <c r="AF20" s="269">
        <f t="shared" si="10"/>
        <v>10319.333999999997</v>
      </c>
      <c r="AG20" s="269">
        <f t="shared" si="10"/>
        <v>10883.878999999999</v>
      </c>
      <c r="AH20" s="269">
        <f t="shared" si="10"/>
        <v>10397.618999999997</v>
      </c>
      <c r="AI20" s="269">
        <f t="shared" si="10"/>
        <v>10124.198999999999</v>
      </c>
      <c r="AJ20" s="269">
        <f t="shared" si="10"/>
        <v>9109.0989999999983</v>
      </c>
      <c r="AK20" s="269">
        <f t="shared" si="10"/>
        <v>8595.4089999999978</v>
      </c>
      <c r="AL20" s="270">
        <f t="shared" si="10"/>
        <v>8853.5889999999981</v>
      </c>
      <c r="AM20" s="265">
        <f t="shared" ref="AM20:AY20" si="12">AM81+AM84+AM85+AM87+AM90+AM93+AM94</f>
        <v>-4.0119999999999987</v>
      </c>
      <c r="AN20" s="269">
        <f t="shared" si="12"/>
        <v>15642.759337400001</v>
      </c>
      <c r="AO20" s="269">
        <f t="shared" si="12"/>
        <v>14727.5397968</v>
      </c>
      <c r="AP20" s="269">
        <f t="shared" si="12"/>
        <v>13568.370999999999</v>
      </c>
      <c r="AQ20" s="269">
        <f t="shared" si="12"/>
        <v>13744.25179</v>
      </c>
      <c r="AR20" s="269">
        <f t="shared" si="12"/>
        <v>13436.066609999996</v>
      </c>
      <c r="AS20" s="269">
        <f t="shared" si="12"/>
        <v>13870.155499999997</v>
      </c>
      <c r="AT20" s="269">
        <f t="shared" si="12"/>
        <v>13085.616219999998</v>
      </c>
      <c r="AU20" s="269">
        <f t="shared" si="12"/>
        <v>11369.215570000002</v>
      </c>
      <c r="AV20" s="269">
        <f t="shared" si="12"/>
        <v>10261.368989999999</v>
      </c>
      <c r="AW20" s="269">
        <f t="shared" si="12"/>
        <v>9924.1950899999993</v>
      </c>
      <c r="AX20" s="270">
        <f t="shared" si="12"/>
        <v>10039.090699999999</v>
      </c>
      <c r="AY20" s="268">
        <f t="shared" si="12"/>
        <v>10485.753999999999</v>
      </c>
      <c r="AZ20" s="82"/>
    </row>
    <row r="21" spans="2:52" s="263" customFormat="1" ht="25.5" customHeight="1" thickBot="1">
      <c r="B21" s="310" t="s">
        <v>42</v>
      </c>
      <c r="C21" s="271">
        <f t="shared" ref="C21:AL21" si="13">SUM(C17:C20)</f>
        <v>15488.959820000002</v>
      </c>
      <c r="D21" s="272">
        <f t="shared" si="13"/>
        <v>16155.176350000002</v>
      </c>
      <c r="E21" s="272">
        <f t="shared" si="13"/>
        <v>15872.057659999999</v>
      </c>
      <c r="F21" s="274">
        <f t="shared" si="13"/>
        <v>15069.483820000001</v>
      </c>
      <c r="G21" s="272">
        <f t="shared" si="13"/>
        <v>0</v>
      </c>
      <c r="H21" s="272">
        <f t="shared" si="13"/>
        <v>0</v>
      </c>
      <c r="I21" s="272">
        <f t="shared" si="13"/>
        <v>0</v>
      </c>
      <c r="J21" s="272">
        <f t="shared" si="13"/>
        <v>0</v>
      </c>
      <c r="K21" s="272">
        <f t="shared" si="13"/>
        <v>0</v>
      </c>
      <c r="L21" s="272">
        <f t="shared" si="13"/>
        <v>0</v>
      </c>
      <c r="M21" s="272">
        <f t="shared" si="13"/>
        <v>0</v>
      </c>
      <c r="N21" s="273">
        <f t="shared" si="13"/>
        <v>0</v>
      </c>
      <c r="O21" s="271">
        <f t="shared" ref="O21:Z21" si="14">SUM(O17:O20)</f>
        <v>15488.959820000002</v>
      </c>
      <c r="P21" s="272">
        <f t="shared" si="14"/>
        <v>16155.176350000002</v>
      </c>
      <c r="Q21" s="272">
        <f t="shared" si="14"/>
        <v>15872.057659999999</v>
      </c>
      <c r="R21" s="272">
        <f t="shared" si="14"/>
        <v>15886.375000000002</v>
      </c>
      <c r="S21" s="272">
        <f t="shared" si="14"/>
        <v>15964.165000000001</v>
      </c>
      <c r="T21" s="272">
        <f t="shared" si="14"/>
        <v>15402.015000000003</v>
      </c>
      <c r="U21" s="272">
        <f t="shared" si="14"/>
        <v>16317.435000000001</v>
      </c>
      <c r="V21" s="272">
        <f t="shared" si="14"/>
        <v>15356.775000000001</v>
      </c>
      <c r="W21" s="272">
        <f t="shared" si="14"/>
        <v>14646.205000000002</v>
      </c>
      <c r="X21" s="272">
        <f t="shared" si="14"/>
        <v>13617.545000000002</v>
      </c>
      <c r="Y21" s="272">
        <f t="shared" si="14"/>
        <v>12673.285000000002</v>
      </c>
      <c r="Z21" s="273">
        <f t="shared" si="14"/>
        <v>12618.415000000003</v>
      </c>
      <c r="AA21" s="271">
        <f t="shared" si="13"/>
        <v>16341.571</v>
      </c>
      <c r="AB21" s="272">
        <f t="shared" si="13"/>
        <v>16473.010999999999</v>
      </c>
      <c r="AC21" s="272">
        <f t="shared" si="13"/>
        <v>16005.370999999999</v>
      </c>
      <c r="AD21" s="272">
        <f t="shared" si="13"/>
        <v>15837.720999999998</v>
      </c>
      <c r="AE21" s="272">
        <f t="shared" si="13"/>
        <v>16070.161</v>
      </c>
      <c r="AF21" s="272">
        <f t="shared" si="13"/>
        <v>15701.510999999999</v>
      </c>
      <c r="AG21" s="272">
        <f t="shared" si="13"/>
        <v>16897.847999999998</v>
      </c>
      <c r="AH21" s="272">
        <f t="shared" si="13"/>
        <v>15833.187999999996</v>
      </c>
      <c r="AI21" s="272">
        <f t="shared" si="13"/>
        <v>15267.617999999999</v>
      </c>
      <c r="AJ21" s="272">
        <f t="shared" si="13"/>
        <v>14102.957999999999</v>
      </c>
      <c r="AK21" s="272">
        <f t="shared" si="13"/>
        <v>13439.697999999999</v>
      </c>
      <c r="AL21" s="273">
        <f t="shared" si="13"/>
        <v>13376.827999999998</v>
      </c>
      <c r="AM21" s="271">
        <f t="shared" ref="AM21:AY21" si="15">SUM(AM17:AM20)</f>
        <v>-4.0119999999999987</v>
      </c>
      <c r="AN21" s="272">
        <f t="shared" si="15"/>
        <v>23662.779337400003</v>
      </c>
      <c r="AO21" s="272">
        <f t="shared" si="15"/>
        <v>21795.624796799999</v>
      </c>
      <c r="AP21" s="272">
        <f t="shared" si="15"/>
        <v>20468.713</v>
      </c>
      <c r="AQ21" s="272">
        <f t="shared" si="15"/>
        <v>20856.592790000002</v>
      </c>
      <c r="AR21" s="272">
        <f t="shared" si="15"/>
        <v>20428.828609999997</v>
      </c>
      <c r="AS21" s="272">
        <f t="shared" si="15"/>
        <v>21764.831009999998</v>
      </c>
      <c r="AT21" s="272">
        <f t="shared" si="15"/>
        <v>20058.942219999997</v>
      </c>
      <c r="AU21" s="272">
        <f t="shared" si="15"/>
        <v>17901.920570000002</v>
      </c>
      <c r="AV21" s="272">
        <f t="shared" si="15"/>
        <v>16428.446989999997</v>
      </c>
      <c r="AW21" s="272">
        <f t="shared" si="15"/>
        <v>15417.60009</v>
      </c>
      <c r="AX21" s="273">
        <f t="shared" si="15"/>
        <v>14536.2363</v>
      </c>
      <c r="AY21" s="274">
        <f t="shared" si="15"/>
        <v>15643.990999999998</v>
      </c>
    </row>
    <row r="22" spans="2:52" s="86" customFormat="1" ht="21.75" customHeight="1">
      <c r="B22" s="311" t="s">
        <v>41</v>
      </c>
      <c r="C22" s="275">
        <f t="shared" ref="C22:AL22" si="16">SUM(C89:C94)</f>
        <v>-4314.2830000000004</v>
      </c>
      <c r="D22" s="276">
        <f t="shared" si="16"/>
        <v>-4195.1760000000004</v>
      </c>
      <c r="E22" s="276">
        <f t="shared" si="16"/>
        <v>-3966.8870000000002</v>
      </c>
      <c r="F22" s="278">
        <f t="shared" si="16"/>
        <v>-3916.6800000000003</v>
      </c>
      <c r="G22" s="276">
        <f t="shared" si="16"/>
        <v>0</v>
      </c>
      <c r="H22" s="276">
        <f t="shared" si="16"/>
        <v>0</v>
      </c>
      <c r="I22" s="276">
        <f t="shared" si="16"/>
        <v>0</v>
      </c>
      <c r="J22" s="276">
        <f t="shared" si="16"/>
        <v>0</v>
      </c>
      <c r="K22" s="276">
        <f t="shared" si="16"/>
        <v>0</v>
      </c>
      <c r="L22" s="276">
        <f t="shared" si="16"/>
        <v>0</v>
      </c>
      <c r="M22" s="276">
        <f t="shared" si="16"/>
        <v>0</v>
      </c>
      <c r="N22" s="277">
        <f t="shared" si="16"/>
        <v>0</v>
      </c>
      <c r="O22" s="275">
        <f t="shared" ref="O22:Z22" si="17">SUM(O89:O94)</f>
        <v>-4314.2830000000004</v>
      </c>
      <c r="P22" s="276">
        <f t="shared" si="17"/>
        <v>-4195.1760000000004</v>
      </c>
      <c r="Q22" s="276">
        <f t="shared" si="17"/>
        <v>-3966.8870000000002</v>
      </c>
      <c r="R22" s="276">
        <f t="shared" si="17"/>
        <v>-4000.2270000000003</v>
      </c>
      <c r="S22" s="276">
        <f t="shared" si="17"/>
        <v>-4033.5670000000005</v>
      </c>
      <c r="T22" s="276">
        <f t="shared" si="17"/>
        <v>-4066.9070000000006</v>
      </c>
      <c r="U22" s="276">
        <f t="shared" si="17"/>
        <v>-4083.5870000000004</v>
      </c>
      <c r="V22" s="276">
        <f t="shared" si="17"/>
        <v>-4100.2669999999998</v>
      </c>
      <c r="W22" s="276">
        <f t="shared" si="17"/>
        <v>-4116.9470000000001</v>
      </c>
      <c r="X22" s="276">
        <f t="shared" si="17"/>
        <v>-4133.6270000000004</v>
      </c>
      <c r="Y22" s="276">
        <f t="shared" si="17"/>
        <v>-4150.3069999999998</v>
      </c>
      <c r="Z22" s="277">
        <f t="shared" si="17"/>
        <v>-4166.9870000000001</v>
      </c>
      <c r="AA22" s="275">
        <f t="shared" si="16"/>
        <v>-4808.2379999999994</v>
      </c>
      <c r="AB22" s="276">
        <f t="shared" si="16"/>
        <v>-4844.5779999999995</v>
      </c>
      <c r="AC22" s="276">
        <f t="shared" si="16"/>
        <v>-4880.9179999999997</v>
      </c>
      <c r="AD22" s="276">
        <f t="shared" si="16"/>
        <v>-4917.2579999999998</v>
      </c>
      <c r="AE22" s="276">
        <f t="shared" si="16"/>
        <v>-4953.598</v>
      </c>
      <c r="AF22" s="276">
        <f t="shared" si="16"/>
        <v>-4989.9380000000001</v>
      </c>
      <c r="AG22" s="276">
        <f t="shared" si="16"/>
        <v>-4745.7009999999991</v>
      </c>
      <c r="AH22" s="276">
        <f t="shared" si="16"/>
        <v>-4762.3809999999994</v>
      </c>
      <c r="AI22" s="276">
        <f t="shared" si="16"/>
        <v>-4779.0609999999997</v>
      </c>
      <c r="AJ22" s="276">
        <f t="shared" si="16"/>
        <v>-4795.7409999999991</v>
      </c>
      <c r="AK22" s="276">
        <f t="shared" si="16"/>
        <v>-4812.4209999999994</v>
      </c>
      <c r="AL22" s="277">
        <f t="shared" si="16"/>
        <v>-4829.1009999999997</v>
      </c>
      <c r="AM22" s="275">
        <f t="shared" ref="AM22:AY22" si="18">SUM(AM89:AM94)</f>
        <v>0</v>
      </c>
      <c r="AN22" s="276">
        <f t="shared" si="18"/>
        <v>-4224.4369999999999</v>
      </c>
      <c r="AO22" s="276">
        <f t="shared" si="18"/>
        <v>-4320.41</v>
      </c>
      <c r="AP22" s="276">
        <f t="shared" si="18"/>
        <v>-4385.3630000000003</v>
      </c>
      <c r="AQ22" s="276">
        <f t="shared" si="18"/>
        <v>-4575.82</v>
      </c>
      <c r="AR22" s="276">
        <f t="shared" si="18"/>
        <v>-4625.915</v>
      </c>
      <c r="AS22" s="276">
        <f t="shared" si="18"/>
        <v>-4970.6909999999998</v>
      </c>
      <c r="AT22" s="276">
        <f t="shared" si="18"/>
        <v>-4958.7579999999998</v>
      </c>
      <c r="AU22" s="276">
        <f t="shared" si="18"/>
        <v>-4994.9070000000002</v>
      </c>
      <c r="AV22" s="276">
        <f t="shared" si="18"/>
        <v>-4920.4549999999999</v>
      </c>
      <c r="AW22" s="276">
        <f t="shared" si="18"/>
        <v>-4852.41</v>
      </c>
      <c r="AX22" s="277">
        <f t="shared" si="18"/>
        <v>-4558.0209999999997</v>
      </c>
      <c r="AY22" s="278">
        <f t="shared" si="18"/>
        <v>-4771.8980000000001</v>
      </c>
      <c r="AZ22" s="82"/>
    </row>
    <row r="23" spans="2:52" s="40" customFormat="1" ht="22.5" customHeight="1" thickBot="1">
      <c r="B23" s="309" t="s">
        <v>40</v>
      </c>
      <c r="C23" s="279">
        <f t="shared" ref="C23:AL23" si="19">C21-C22</f>
        <v>19803.242820000003</v>
      </c>
      <c r="D23" s="280">
        <f t="shared" si="19"/>
        <v>20350.352350000001</v>
      </c>
      <c r="E23" s="280">
        <f t="shared" si="19"/>
        <v>19838.944659999997</v>
      </c>
      <c r="F23" s="282">
        <f t="shared" si="19"/>
        <v>18986.163820000002</v>
      </c>
      <c r="G23" s="280">
        <f t="shared" si="19"/>
        <v>0</v>
      </c>
      <c r="H23" s="280">
        <f t="shared" si="19"/>
        <v>0</v>
      </c>
      <c r="I23" s="280">
        <f t="shared" si="19"/>
        <v>0</v>
      </c>
      <c r="J23" s="280">
        <f t="shared" si="19"/>
        <v>0</v>
      </c>
      <c r="K23" s="280">
        <f t="shared" si="19"/>
        <v>0</v>
      </c>
      <c r="L23" s="280">
        <f t="shared" si="19"/>
        <v>0</v>
      </c>
      <c r="M23" s="280">
        <f t="shared" si="19"/>
        <v>0</v>
      </c>
      <c r="N23" s="281">
        <f t="shared" si="19"/>
        <v>0</v>
      </c>
      <c r="O23" s="279">
        <f t="shared" ref="O23:Z23" si="20">O21-O22</f>
        <v>19803.242820000003</v>
      </c>
      <c r="P23" s="280">
        <f t="shared" si="20"/>
        <v>20350.352350000001</v>
      </c>
      <c r="Q23" s="280">
        <f t="shared" si="20"/>
        <v>19838.944659999997</v>
      </c>
      <c r="R23" s="280">
        <f t="shared" si="20"/>
        <v>19886.602000000003</v>
      </c>
      <c r="S23" s="280">
        <f t="shared" si="20"/>
        <v>19997.732</v>
      </c>
      <c r="T23" s="280">
        <f t="shared" si="20"/>
        <v>19468.922000000002</v>
      </c>
      <c r="U23" s="280">
        <f t="shared" si="20"/>
        <v>20401.022000000001</v>
      </c>
      <c r="V23" s="280">
        <f t="shared" si="20"/>
        <v>19457.042000000001</v>
      </c>
      <c r="W23" s="280">
        <f t="shared" si="20"/>
        <v>18763.152000000002</v>
      </c>
      <c r="X23" s="280">
        <f t="shared" si="20"/>
        <v>17751.172000000002</v>
      </c>
      <c r="Y23" s="280">
        <f t="shared" si="20"/>
        <v>16823.592000000001</v>
      </c>
      <c r="Z23" s="281">
        <f t="shared" si="20"/>
        <v>16785.402000000002</v>
      </c>
      <c r="AA23" s="279">
        <f t="shared" si="19"/>
        <v>21149.809000000001</v>
      </c>
      <c r="AB23" s="280">
        <f t="shared" si="19"/>
        <v>21317.589</v>
      </c>
      <c r="AC23" s="280">
        <f t="shared" si="19"/>
        <v>20886.288999999997</v>
      </c>
      <c r="AD23" s="280">
        <f t="shared" si="19"/>
        <v>20754.978999999999</v>
      </c>
      <c r="AE23" s="280">
        <f t="shared" si="19"/>
        <v>21023.758999999998</v>
      </c>
      <c r="AF23" s="280">
        <f t="shared" si="19"/>
        <v>20691.449000000001</v>
      </c>
      <c r="AG23" s="280">
        <f t="shared" si="19"/>
        <v>21643.548999999999</v>
      </c>
      <c r="AH23" s="280">
        <f t="shared" si="19"/>
        <v>20595.568999999996</v>
      </c>
      <c r="AI23" s="280">
        <f t="shared" si="19"/>
        <v>20046.678999999996</v>
      </c>
      <c r="AJ23" s="280">
        <f t="shared" si="19"/>
        <v>18898.698999999997</v>
      </c>
      <c r="AK23" s="280">
        <f t="shared" si="19"/>
        <v>18252.118999999999</v>
      </c>
      <c r="AL23" s="281">
        <f t="shared" si="19"/>
        <v>18205.928999999996</v>
      </c>
      <c r="AM23" s="279">
        <f t="shared" ref="AM23:AY23" si="21">AM21-AM22</f>
        <v>-4.0119999999999987</v>
      </c>
      <c r="AN23" s="280">
        <f t="shared" si="21"/>
        <v>27887.216337400001</v>
      </c>
      <c r="AO23" s="280">
        <f t="shared" si="21"/>
        <v>26116.034796799999</v>
      </c>
      <c r="AP23" s="280">
        <f t="shared" si="21"/>
        <v>24854.076000000001</v>
      </c>
      <c r="AQ23" s="280">
        <f t="shared" si="21"/>
        <v>25432.412790000002</v>
      </c>
      <c r="AR23" s="280">
        <f t="shared" si="21"/>
        <v>25054.743609999998</v>
      </c>
      <c r="AS23" s="280">
        <f t="shared" si="21"/>
        <v>26735.522009999997</v>
      </c>
      <c r="AT23" s="280">
        <f t="shared" si="21"/>
        <v>25017.700219999999</v>
      </c>
      <c r="AU23" s="280">
        <f t="shared" si="21"/>
        <v>22896.827570000001</v>
      </c>
      <c r="AV23" s="280">
        <f t="shared" si="21"/>
        <v>21348.901989999998</v>
      </c>
      <c r="AW23" s="280">
        <f t="shared" si="21"/>
        <v>20270.01009</v>
      </c>
      <c r="AX23" s="281">
        <f t="shared" si="21"/>
        <v>19094.257300000001</v>
      </c>
      <c r="AY23" s="282">
        <f t="shared" si="21"/>
        <v>20415.888999999999</v>
      </c>
    </row>
    <row r="24" spans="2:52" s="40" customFormat="1" ht="15" customHeight="1"/>
    <row r="25" spans="2:52" s="40" customFormat="1" ht="15.75"/>
    <row r="26" spans="2:52" s="40" customFormat="1" ht="15.75" hidden="1" outlineLevel="1">
      <c r="B26" s="78" t="s">
        <v>39</v>
      </c>
      <c r="C26" s="76" t="str">
        <f>+"31-01-"&amp;MID($A$1,3,2)</f>
        <v>31-01-13</v>
      </c>
      <c r="D26" s="75" t="str">
        <f>+"29-02-"&amp;MID($A$1,3,2)</f>
        <v>29-02-13</v>
      </c>
      <c r="E26" s="75" t="str">
        <f>+"31-03-"&amp;MID($A$1,3,2)</f>
        <v>31-03-13</v>
      </c>
      <c r="F26" s="75" t="str">
        <f>+"30-04-"&amp;MID($A$1,3,2)</f>
        <v>30-04-13</v>
      </c>
      <c r="G26" s="75" t="str">
        <f>+"31-05-"&amp;MID($A$1,3,2)</f>
        <v>31-05-13</v>
      </c>
      <c r="H26" s="75" t="str">
        <f>+"30-06-"&amp;MID($A$1,3,2)</f>
        <v>30-06-13</v>
      </c>
      <c r="I26" s="75" t="str">
        <f>+"31-07-"&amp;MID($A$1,3,2)</f>
        <v>31-07-13</v>
      </c>
      <c r="J26" s="75" t="str">
        <f>+"31-08-"&amp;MID($A$1,3,2)</f>
        <v>31-08-13</v>
      </c>
      <c r="K26" s="75" t="str">
        <f>+"30-09-"&amp;MID($A$1,3,2)</f>
        <v>30-09-13</v>
      </c>
      <c r="L26" s="75" t="str">
        <f>+"31-10-"&amp;MID($A$1,3,2)</f>
        <v>31-10-13</v>
      </c>
      <c r="M26" s="75" t="str">
        <f>+"30-11-"&amp;MID($A$1,3,2)</f>
        <v>30-11-13</v>
      </c>
      <c r="N26" s="74" t="str">
        <f>+"31-12-"&amp;MID($A$1,3,2)</f>
        <v>31-12-13</v>
      </c>
      <c r="O26" s="76" t="str">
        <f>+"31-01-"&amp;MID($A$1,3,2)</f>
        <v>31-01-13</v>
      </c>
      <c r="P26" s="75" t="str">
        <f>+"29-02-"&amp;MID($A$1,3,2)</f>
        <v>29-02-13</v>
      </c>
      <c r="Q26" s="75" t="str">
        <f>+"31-03-"&amp;MID($A$1,3,2)-2</f>
        <v>31-03-11</v>
      </c>
      <c r="R26" s="75" t="str">
        <f>+"30-04-"&amp;MID($A$1,3,2)</f>
        <v>30-04-13</v>
      </c>
      <c r="S26" s="75" t="str">
        <f>+"31-05-"&amp;MID($A$1,3,2)</f>
        <v>31-05-13</v>
      </c>
      <c r="T26" s="75" t="str">
        <f>+"30-06-"&amp;MID($A$1,3,2)</f>
        <v>30-06-13</v>
      </c>
      <c r="U26" s="75" t="str">
        <f>+"31-07-"&amp;MID($A$1,3,2)</f>
        <v>31-07-13</v>
      </c>
      <c r="V26" s="75" t="str">
        <f>+"31-08-"&amp;MID($A$1,3,2)</f>
        <v>31-08-13</v>
      </c>
      <c r="W26" s="75" t="str">
        <f>+"30-09-"&amp;MID($A$1,3,2)</f>
        <v>30-09-13</v>
      </c>
      <c r="X26" s="75" t="str">
        <f>+"31-10-"&amp;MID($A$1,3,2)</f>
        <v>31-10-13</v>
      </c>
      <c r="Y26" s="75" t="str">
        <f>+"30-11-"&amp;MID($A$1,3,2)</f>
        <v>30-11-13</v>
      </c>
      <c r="Z26" s="74" t="str">
        <f>+"31-12-"&amp;MID($A$1,3,2)</f>
        <v>31-12-13</v>
      </c>
      <c r="AA26" s="76" t="str">
        <f>+"31-01-"&amp;MID($A$1,3,2)</f>
        <v>31-01-13</v>
      </c>
      <c r="AB26" s="75" t="str">
        <f>+"29-02-"&amp;MID($A$1,3,2)</f>
        <v>29-02-13</v>
      </c>
      <c r="AC26" s="75" t="str">
        <f>+"31-03-"&amp;MID($A$1,3,2)-2</f>
        <v>31-03-11</v>
      </c>
      <c r="AD26" s="75" t="str">
        <f>+"30-04-"&amp;MID($A$1,3,2)</f>
        <v>30-04-13</v>
      </c>
      <c r="AE26" s="75" t="str">
        <f>+"31-05-"&amp;MID($A$1,3,2)</f>
        <v>31-05-13</v>
      </c>
      <c r="AF26" s="75" t="str">
        <f>+"30-06-"&amp;MID($A$1,3,2)</f>
        <v>30-06-13</v>
      </c>
      <c r="AG26" s="75" t="str">
        <f>+"31-07-"&amp;MID($A$1,3,2)</f>
        <v>31-07-13</v>
      </c>
      <c r="AH26" s="75" t="str">
        <f>+"31-08-"&amp;MID($A$1,3,2)</f>
        <v>31-08-13</v>
      </c>
      <c r="AI26" s="75" t="str">
        <f>+"30-09-"&amp;MID($A$1,3,2)</f>
        <v>30-09-13</v>
      </c>
      <c r="AJ26" s="75" t="str">
        <f>+"31-10-"&amp;MID($A$1,3,2)</f>
        <v>31-10-13</v>
      </c>
      <c r="AK26" s="75" t="str">
        <f>+"30-11-"&amp;MID($A$1,3,2)</f>
        <v>30-11-13</v>
      </c>
      <c r="AL26" s="74" t="str">
        <f>+"31-12-"&amp;MID($A$1,3,2)</f>
        <v>31-12-13</v>
      </c>
      <c r="AM26" s="76" t="str">
        <f>+"31-01-"&amp;MID($A$1,3,2)-1</f>
        <v>31-01-12</v>
      </c>
      <c r="AN26" s="75" t="str">
        <f>+"29-02-"&amp;MID($A$1,3,2)-1</f>
        <v>29-02-12</v>
      </c>
      <c r="AO26" s="75" t="str">
        <f>+"31-03-"&amp;MID($A$1,3,2)-1</f>
        <v>31-03-12</v>
      </c>
      <c r="AP26" s="75" t="str">
        <f>+"30-04-"&amp;MID($A$1,3,2)-1</f>
        <v>30-04-12</v>
      </c>
      <c r="AQ26" s="75" t="str">
        <f>+"31-05-"&amp;MID($A$1,3,2)-1</f>
        <v>31-05-12</v>
      </c>
      <c r="AR26" s="75" t="str">
        <f>+"30-06-"&amp;MID($A$1,3,2)-1</f>
        <v>30-06-12</v>
      </c>
      <c r="AS26" s="75" t="str">
        <f>+"31-07-"&amp;MID($A$1,3,2)-1</f>
        <v>31-07-12</v>
      </c>
      <c r="AT26" s="75" t="str">
        <f>+"31-08-"&amp;MID($A$1,3,2)-1</f>
        <v>31-08-12</v>
      </c>
      <c r="AU26" s="75" t="str">
        <f>+"30-09-"&amp;MID($A$1,3,2)-1</f>
        <v>30-09-12</v>
      </c>
      <c r="AV26" s="75" t="str">
        <f>+"31-10-"&amp;MID($A$1,3,2)-1</f>
        <v>31-10-12</v>
      </c>
      <c r="AW26" s="75" t="str">
        <f>+"29-02-"&amp;MID($A$1,3,2)-1</f>
        <v>29-02-12</v>
      </c>
      <c r="AX26" s="74" t="str">
        <f>+"31-12-"&amp;MID($A$1,3,2)-1</f>
        <v>31-12-12</v>
      </c>
      <c r="AY26" s="77" t="str">
        <f>+"31-12-"&amp;MID($A$1,3,2)-1</f>
        <v>31-12-12</v>
      </c>
    </row>
    <row r="27" spans="2:52" s="68" customFormat="1" ht="16.5" hidden="1" outlineLevel="1" thickBot="1">
      <c r="B27" s="73"/>
      <c r="C27" s="71" t="s">
        <v>7</v>
      </c>
      <c r="D27" s="70" t="s">
        <v>7</v>
      </c>
      <c r="E27" s="70" t="s">
        <v>7</v>
      </c>
      <c r="F27" s="70" t="s">
        <v>7</v>
      </c>
      <c r="G27" s="70" t="s">
        <v>7</v>
      </c>
      <c r="H27" s="70" t="s">
        <v>7</v>
      </c>
      <c r="I27" s="70" t="s">
        <v>7</v>
      </c>
      <c r="J27" s="70" t="s">
        <v>7</v>
      </c>
      <c r="K27" s="70" t="s">
        <v>7</v>
      </c>
      <c r="L27" s="70" t="s">
        <v>7</v>
      </c>
      <c r="M27" s="70" t="s">
        <v>7</v>
      </c>
      <c r="N27" s="69" t="s">
        <v>7</v>
      </c>
      <c r="O27" s="129" t="s">
        <v>145</v>
      </c>
      <c r="P27" s="128" t="s">
        <v>145</v>
      </c>
      <c r="Q27" s="128" t="s">
        <v>145</v>
      </c>
      <c r="R27" s="128" t="s">
        <v>145</v>
      </c>
      <c r="S27" s="128" t="s">
        <v>145</v>
      </c>
      <c r="T27" s="128" t="s">
        <v>145</v>
      </c>
      <c r="U27" s="128" t="s">
        <v>145</v>
      </c>
      <c r="V27" s="128" t="s">
        <v>145</v>
      </c>
      <c r="W27" s="128" t="s">
        <v>145</v>
      </c>
      <c r="X27" s="128" t="s">
        <v>145</v>
      </c>
      <c r="Y27" s="128" t="s">
        <v>145</v>
      </c>
      <c r="Z27" s="127" t="s">
        <v>145</v>
      </c>
      <c r="AA27" s="71" t="s">
        <v>9</v>
      </c>
      <c r="AB27" s="70" t="s">
        <v>9</v>
      </c>
      <c r="AC27" s="70" t="s">
        <v>9</v>
      </c>
      <c r="AD27" s="70" t="s">
        <v>9</v>
      </c>
      <c r="AE27" s="70" t="s">
        <v>9</v>
      </c>
      <c r="AF27" s="70" t="s">
        <v>9</v>
      </c>
      <c r="AG27" s="70" t="s">
        <v>9</v>
      </c>
      <c r="AH27" s="70" t="s">
        <v>9</v>
      </c>
      <c r="AI27" s="70" t="s">
        <v>9</v>
      </c>
      <c r="AJ27" s="70" t="s">
        <v>9</v>
      </c>
      <c r="AK27" s="70" t="s">
        <v>9</v>
      </c>
      <c r="AL27" s="69" t="s">
        <v>9</v>
      </c>
      <c r="AM27" s="71" t="s">
        <v>7</v>
      </c>
      <c r="AN27" s="70" t="s">
        <v>7</v>
      </c>
      <c r="AO27" s="70" t="s">
        <v>7</v>
      </c>
      <c r="AP27" s="70" t="s">
        <v>7</v>
      </c>
      <c r="AQ27" s="70" t="s">
        <v>7</v>
      </c>
      <c r="AR27" s="70" t="s">
        <v>7</v>
      </c>
      <c r="AS27" s="70" t="s">
        <v>7</v>
      </c>
      <c r="AT27" s="70" t="s">
        <v>7</v>
      </c>
      <c r="AU27" s="70" t="s">
        <v>7</v>
      </c>
      <c r="AV27" s="70" t="s">
        <v>7</v>
      </c>
      <c r="AW27" s="70" t="s">
        <v>7</v>
      </c>
      <c r="AX27" s="69" t="s">
        <v>7</v>
      </c>
      <c r="AY27" s="72" t="s">
        <v>26</v>
      </c>
    </row>
    <row r="28" spans="2:52" s="40" customFormat="1" ht="19.5" hidden="1" customHeight="1" outlineLevel="1">
      <c r="B28" s="67" t="s">
        <v>38</v>
      </c>
      <c r="C28" s="65">
        <f t="shared" ref="C28:AL28" si="22">IF(C$33&gt;0,C17/(C$33*(12/C$36)/365),0)</f>
        <v>32.61044090917904</v>
      </c>
      <c r="D28" s="64">
        <f t="shared" si="22"/>
        <v>21.193130775511705</v>
      </c>
      <c r="E28" s="64">
        <f t="shared" si="22"/>
        <v>16.859241424394217</v>
      </c>
      <c r="F28" s="64">
        <f t="shared" si="22"/>
        <v>14.645942111731154</v>
      </c>
      <c r="G28" s="64">
        <f t="shared" si="22"/>
        <v>0</v>
      </c>
      <c r="H28" s="64">
        <f t="shared" si="22"/>
        <v>0</v>
      </c>
      <c r="I28" s="64">
        <f t="shared" si="22"/>
        <v>0</v>
      </c>
      <c r="J28" s="64">
        <f t="shared" si="22"/>
        <v>0</v>
      </c>
      <c r="K28" s="64">
        <f t="shared" si="22"/>
        <v>0</v>
      </c>
      <c r="L28" s="64">
        <f t="shared" si="22"/>
        <v>0</v>
      </c>
      <c r="M28" s="64">
        <f t="shared" si="22"/>
        <v>0</v>
      </c>
      <c r="N28" s="66">
        <f t="shared" si="22"/>
        <v>0</v>
      </c>
      <c r="O28" s="65">
        <f t="shared" ref="O28:Z28" si="23">IF(O$33&gt;0,O17/(O$33*(12/O$36)/365),0)</f>
        <v>32.808381928125627</v>
      </c>
      <c r="P28" s="64">
        <f t="shared" si="23"/>
        <v>21.245160209220508</v>
      </c>
      <c r="Q28" s="64">
        <f t="shared" si="23"/>
        <v>16.859241424394217</v>
      </c>
      <c r="R28" s="64">
        <f t="shared" si="23"/>
        <v>19.525227279766455</v>
      </c>
      <c r="S28" s="64">
        <f t="shared" si="23"/>
        <v>21.132612573708425</v>
      </c>
      <c r="T28" s="64">
        <f t="shared" si="23"/>
        <v>21.143457292321134</v>
      </c>
      <c r="U28" s="64">
        <f t="shared" si="23"/>
        <v>21.664411614961725</v>
      </c>
      <c r="V28" s="64">
        <f t="shared" si="23"/>
        <v>18.775664808866459</v>
      </c>
      <c r="W28" s="64">
        <f t="shared" si="23"/>
        <v>16.305532466223731</v>
      </c>
      <c r="X28" s="64">
        <f t="shared" si="23"/>
        <v>16.572005389850364</v>
      </c>
      <c r="Y28" s="64">
        <f t="shared" si="23"/>
        <v>15.234797502038001</v>
      </c>
      <c r="Z28" s="66">
        <f t="shared" si="23"/>
        <v>19.000508002755133</v>
      </c>
      <c r="AA28" s="65">
        <f t="shared" si="22"/>
        <v>33.894496863217249</v>
      </c>
      <c r="AB28" s="64">
        <f t="shared" si="22"/>
        <v>32.197511092506033</v>
      </c>
      <c r="AC28" s="64">
        <f t="shared" si="22"/>
        <v>29.76527865087202</v>
      </c>
      <c r="AD28" s="64">
        <f t="shared" si="22"/>
        <v>26.564878080514852</v>
      </c>
      <c r="AE28" s="64">
        <f t="shared" si="22"/>
        <v>27.248923332067349</v>
      </c>
      <c r="AF28" s="64">
        <f t="shared" si="22"/>
        <v>27.444605559811304</v>
      </c>
      <c r="AG28" s="64">
        <f t="shared" si="22"/>
        <v>31.917959747044854</v>
      </c>
      <c r="AH28" s="64">
        <f t="shared" si="22"/>
        <v>29.58023606466919</v>
      </c>
      <c r="AI28" s="64">
        <f t="shared" si="22"/>
        <v>26.844763841254519</v>
      </c>
      <c r="AJ28" s="64">
        <f t="shared" si="22"/>
        <v>28.082674084998018</v>
      </c>
      <c r="AK28" s="64">
        <f t="shared" si="22"/>
        <v>27.594081801800648</v>
      </c>
      <c r="AL28" s="66">
        <f t="shared" si="22"/>
        <v>35.141497063512105</v>
      </c>
      <c r="AM28" s="65">
        <f t="shared" ref="AM28:AY28" si="24">IF(AM$33&gt;0,AM17/(AM$33*(12/AM$36)/365),0)</f>
        <v>0</v>
      </c>
      <c r="AN28" s="64">
        <f t="shared" si="24"/>
        <v>38.313964925194966</v>
      </c>
      <c r="AO28" s="64">
        <f t="shared" si="24"/>
        <v>33.567984720296089</v>
      </c>
      <c r="AP28" s="64">
        <f t="shared" si="24"/>
        <v>34.910502907643973</v>
      </c>
      <c r="AQ28" s="64">
        <f t="shared" si="24"/>
        <v>40.227754558105794</v>
      </c>
      <c r="AR28" s="64">
        <f t="shared" si="24"/>
        <v>41.81856437031778</v>
      </c>
      <c r="AS28" s="64">
        <f t="shared" si="24"/>
        <v>43.007500431466703</v>
      </c>
      <c r="AT28" s="64">
        <f t="shared" si="24"/>
        <v>38.024224078823522</v>
      </c>
      <c r="AU28" s="64">
        <f t="shared" si="24"/>
        <v>39.693918444636054</v>
      </c>
      <c r="AV28" s="64">
        <f t="shared" si="24"/>
        <v>43.26161591064848</v>
      </c>
      <c r="AW28" s="64">
        <f t="shared" si="24"/>
        <v>39.742254008429022</v>
      </c>
      <c r="AX28" s="66">
        <f t="shared" si="24"/>
        <v>35.831579752710631</v>
      </c>
      <c r="AY28" s="85">
        <f t="shared" si="24"/>
        <v>41.226061597273116</v>
      </c>
    </row>
    <row r="29" spans="2:52" s="40" customFormat="1" ht="19.5" hidden="1" customHeight="1" outlineLevel="1">
      <c r="B29" s="63" t="s">
        <v>37</v>
      </c>
      <c r="C29" s="61">
        <f t="shared" ref="C29:AL29" si="25">IF(C$35&gt;0,C18/(C$35*(12/C$36)/365),0)</f>
        <v>2.3317348613495872</v>
      </c>
      <c r="D29" s="60">
        <f t="shared" si="25"/>
        <v>3.8190498197586487</v>
      </c>
      <c r="E29" s="60">
        <f t="shared" si="25"/>
        <v>3.4893474595677079</v>
      </c>
      <c r="F29" s="60">
        <f t="shared" si="25"/>
        <v>3.9885599723479634</v>
      </c>
      <c r="G29" s="60">
        <f t="shared" si="25"/>
        <v>0</v>
      </c>
      <c r="H29" s="60">
        <f t="shared" si="25"/>
        <v>0</v>
      </c>
      <c r="I29" s="60">
        <f t="shared" si="25"/>
        <v>0</v>
      </c>
      <c r="J29" s="60">
        <f t="shared" si="25"/>
        <v>0</v>
      </c>
      <c r="K29" s="60">
        <f t="shared" si="25"/>
        <v>0</v>
      </c>
      <c r="L29" s="60">
        <f t="shared" si="25"/>
        <v>0</v>
      </c>
      <c r="M29" s="60">
        <f t="shared" si="25"/>
        <v>0</v>
      </c>
      <c r="N29" s="62">
        <f t="shared" si="25"/>
        <v>0</v>
      </c>
      <c r="O29" s="61">
        <f t="shared" ref="O29:Z29" si="26">IF(O$35&gt;0,O18/(O$35*(12/O$36)/365),0)</f>
        <v>2.3396088121499377</v>
      </c>
      <c r="P29" s="60">
        <f t="shared" si="26"/>
        <v>3.8246047740118549</v>
      </c>
      <c r="Q29" s="60">
        <f t="shared" si="26"/>
        <v>3.4893474595677079</v>
      </c>
      <c r="R29" s="60">
        <f t="shared" si="26"/>
        <v>3.1542352899114268</v>
      </c>
      <c r="S29" s="60">
        <f t="shared" si="26"/>
        <v>3.3486128934864317</v>
      </c>
      <c r="T29" s="60">
        <f t="shared" si="26"/>
        <v>3.4054056165620166</v>
      </c>
      <c r="U29" s="60">
        <f t="shared" si="26"/>
        <v>3.4125069135633117</v>
      </c>
      <c r="V29" s="60">
        <f t="shared" si="26"/>
        <v>3.4745038741661047</v>
      </c>
      <c r="W29" s="60">
        <f t="shared" si="26"/>
        <v>3.5219785948934685</v>
      </c>
      <c r="X29" s="60">
        <f t="shared" si="26"/>
        <v>3.4812873890877083</v>
      </c>
      <c r="Y29" s="60">
        <f t="shared" si="26"/>
        <v>3.5300958374122002</v>
      </c>
      <c r="Z29" s="62">
        <f t="shared" si="26"/>
        <v>4.228259809034201</v>
      </c>
      <c r="AA29" s="61">
        <f t="shared" si="25"/>
        <v>2.7364439391082485</v>
      </c>
      <c r="AB29" s="60">
        <f t="shared" si="25"/>
        <v>2.5574531271215424</v>
      </c>
      <c r="AC29" s="60">
        <f t="shared" si="25"/>
        <v>2.3611711244074982</v>
      </c>
      <c r="AD29" s="60">
        <f t="shared" si="25"/>
        <v>2.1398266445154608</v>
      </c>
      <c r="AE29" s="60">
        <f t="shared" si="25"/>
        <v>2.1756099647131548</v>
      </c>
      <c r="AF29" s="60">
        <f t="shared" si="25"/>
        <v>2.1950106578709212</v>
      </c>
      <c r="AG29" s="60">
        <f t="shared" si="25"/>
        <v>2.3211582178497112</v>
      </c>
      <c r="AH29" s="60">
        <f t="shared" si="25"/>
        <v>2.3915598233920239</v>
      </c>
      <c r="AI29" s="60">
        <f t="shared" si="25"/>
        <v>2.3996825893412748</v>
      </c>
      <c r="AJ29" s="60">
        <f t="shared" si="25"/>
        <v>2.4525585151818361</v>
      </c>
      <c r="AK29" s="60">
        <f t="shared" si="25"/>
        <v>2.4421158411042536</v>
      </c>
      <c r="AL29" s="62">
        <f t="shared" si="25"/>
        <v>1.640623651937535</v>
      </c>
      <c r="AM29" s="61">
        <f t="shared" ref="AM29:AY29" si="27">IF(AM$35&gt;0,AM18/(AM$35*(12/AM$36)/365),0)</f>
        <v>0</v>
      </c>
      <c r="AN29" s="60">
        <f t="shared" si="27"/>
        <v>4.4613254836769167</v>
      </c>
      <c r="AO29" s="60">
        <f t="shared" si="27"/>
        <v>3.823681754208279</v>
      </c>
      <c r="AP29" s="60">
        <f t="shared" si="27"/>
        <v>3.7026054834351942</v>
      </c>
      <c r="AQ29" s="60">
        <f t="shared" si="27"/>
        <v>4.6290082235127068</v>
      </c>
      <c r="AR29" s="60">
        <f t="shared" si="27"/>
        <v>4.702441879591853</v>
      </c>
      <c r="AS29" s="60">
        <f t="shared" si="27"/>
        <v>4.8582139330006981</v>
      </c>
      <c r="AT29" s="60">
        <f t="shared" si="27"/>
        <v>4.173338135982263</v>
      </c>
      <c r="AU29" s="60">
        <f t="shared" si="27"/>
        <v>4.1572507818364315</v>
      </c>
      <c r="AV29" s="60">
        <f t="shared" si="27"/>
        <v>3.7594404429631751</v>
      </c>
      <c r="AW29" s="60">
        <f t="shared" si="27"/>
        <v>3.2800444844760195</v>
      </c>
      <c r="AX29" s="62">
        <f t="shared" si="27"/>
        <v>2.5535756714185736</v>
      </c>
      <c r="AY29" s="85">
        <f t="shared" si="27"/>
        <v>1.7427201236535537</v>
      </c>
    </row>
    <row r="30" spans="2:52" s="40" customFormat="1" ht="19.5" hidden="1" customHeight="1" outlineLevel="1">
      <c r="B30" s="63" t="s">
        <v>36</v>
      </c>
      <c r="C30" s="61">
        <f t="shared" ref="C30:AL30" si="28">IF(C$35&gt;0,C19/(C$35*(12/C$36)/365),0)</f>
        <v>0</v>
      </c>
      <c r="D30" s="60">
        <f t="shared" si="28"/>
        <v>0</v>
      </c>
      <c r="E30" s="60">
        <f t="shared" si="28"/>
        <v>0</v>
      </c>
      <c r="F30" s="60">
        <f t="shared" si="28"/>
        <v>0</v>
      </c>
      <c r="G30" s="60">
        <f t="shared" si="28"/>
        <v>0</v>
      </c>
      <c r="H30" s="60">
        <f t="shared" si="28"/>
        <v>0</v>
      </c>
      <c r="I30" s="60">
        <f t="shared" si="28"/>
        <v>0</v>
      </c>
      <c r="J30" s="60">
        <f t="shared" si="28"/>
        <v>0</v>
      </c>
      <c r="K30" s="60">
        <f t="shared" si="28"/>
        <v>0</v>
      </c>
      <c r="L30" s="60">
        <f t="shared" si="28"/>
        <v>0</v>
      </c>
      <c r="M30" s="60">
        <f t="shared" si="28"/>
        <v>0</v>
      </c>
      <c r="N30" s="62">
        <f t="shared" si="28"/>
        <v>0</v>
      </c>
      <c r="O30" s="61">
        <f t="shared" ref="O30:Z30" si="29">IF(O$35&gt;0,O19/(O$35*(12/O$36)/365),0)</f>
        <v>0</v>
      </c>
      <c r="P30" s="60">
        <f t="shared" si="29"/>
        <v>0</v>
      </c>
      <c r="Q30" s="60">
        <f t="shared" si="29"/>
        <v>0</v>
      </c>
      <c r="R30" s="60">
        <f t="shared" si="29"/>
        <v>0</v>
      </c>
      <c r="S30" s="60">
        <f t="shared" si="29"/>
        <v>0</v>
      </c>
      <c r="T30" s="60">
        <f t="shared" si="29"/>
        <v>0</v>
      </c>
      <c r="U30" s="60">
        <f t="shared" si="29"/>
        <v>0</v>
      </c>
      <c r="V30" s="60">
        <f t="shared" si="29"/>
        <v>0</v>
      </c>
      <c r="W30" s="60">
        <f t="shared" si="29"/>
        <v>0</v>
      </c>
      <c r="X30" s="60">
        <f t="shared" si="29"/>
        <v>0</v>
      </c>
      <c r="Y30" s="60">
        <f t="shared" si="29"/>
        <v>0</v>
      </c>
      <c r="Z30" s="62">
        <f t="shared" si="29"/>
        <v>0</v>
      </c>
      <c r="AA30" s="61">
        <f t="shared" si="28"/>
        <v>0</v>
      </c>
      <c r="AB30" s="60">
        <f t="shared" si="28"/>
        <v>0</v>
      </c>
      <c r="AC30" s="60">
        <f t="shared" si="28"/>
        <v>0</v>
      </c>
      <c r="AD30" s="60">
        <f t="shared" si="28"/>
        <v>0</v>
      </c>
      <c r="AE30" s="60">
        <f t="shared" si="28"/>
        <v>0</v>
      </c>
      <c r="AF30" s="60">
        <f t="shared" si="28"/>
        <v>0</v>
      </c>
      <c r="AG30" s="60">
        <f t="shared" si="28"/>
        <v>0</v>
      </c>
      <c r="AH30" s="60">
        <f t="shared" si="28"/>
        <v>0</v>
      </c>
      <c r="AI30" s="60">
        <f t="shared" si="28"/>
        <v>0</v>
      </c>
      <c r="AJ30" s="60">
        <f t="shared" si="28"/>
        <v>0</v>
      </c>
      <c r="AK30" s="60">
        <f t="shared" si="28"/>
        <v>0</v>
      </c>
      <c r="AL30" s="62">
        <f t="shared" si="28"/>
        <v>0</v>
      </c>
      <c r="AM30" s="61">
        <f t="shared" ref="AM30:AY30" si="30">IF(AM$35&gt;0,AM19/(AM$35*(12/AM$36)/365),0)</f>
        <v>0</v>
      </c>
      <c r="AN30" s="60">
        <f t="shared" si="30"/>
        <v>0</v>
      </c>
      <c r="AO30" s="60">
        <f t="shared" si="30"/>
        <v>0</v>
      </c>
      <c r="AP30" s="60">
        <f t="shared" si="30"/>
        <v>0</v>
      </c>
      <c r="AQ30" s="60">
        <f t="shared" si="30"/>
        <v>0</v>
      </c>
      <c r="AR30" s="60">
        <f t="shared" si="30"/>
        <v>0</v>
      </c>
      <c r="AS30" s="60">
        <f t="shared" si="30"/>
        <v>0</v>
      </c>
      <c r="AT30" s="60">
        <f t="shared" si="30"/>
        <v>0</v>
      </c>
      <c r="AU30" s="60">
        <f t="shared" si="30"/>
        <v>0</v>
      </c>
      <c r="AV30" s="60">
        <f t="shared" si="30"/>
        <v>0</v>
      </c>
      <c r="AW30" s="60">
        <f t="shared" si="30"/>
        <v>0</v>
      </c>
      <c r="AX30" s="62">
        <f t="shared" si="30"/>
        <v>0</v>
      </c>
      <c r="AY30" s="85">
        <f t="shared" si="30"/>
        <v>0</v>
      </c>
    </row>
    <row r="31" spans="2:52" s="40" customFormat="1" ht="19.5" hidden="1" customHeight="1" outlineLevel="1" thickBot="1">
      <c r="B31" s="63" t="s">
        <v>35</v>
      </c>
      <c r="C31" s="61">
        <f t="shared" ref="C31:AL31" si="31">IF(C$35&gt;0,C20/(C$35*(12/C$36)/365),0)</f>
        <v>39.812400741263666</v>
      </c>
      <c r="D31" s="60">
        <f t="shared" si="31"/>
        <v>37.928722863929366</v>
      </c>
      <c r="E31" s="60">
        <f t="shared" si="31"/>
        <v>36.888664392927986</v>
      </c>
      <c r="F31" s="60">
        <f t="shared" si="31"/>
        <v>34.908611510758789</v>
      </c>
      <c r="G31" s="60">
        <f t="shared" si="31"/>
        <v>0</v>
      </c>
      <c r="H31" s="60">
        <f t="shared" si="31"/>
        <v>0</v>
      </c>
      <c r="I31" s="60">
        <f t="shared" si="31"/>
        <v>0</v>
      </c>
      <c r="J31" s="60">
        <f t="shared" si="31"/>
        <v>0</v>
      </c>
      <c r="K31" s="60">
        <f t="shared" si="31"/>
        <v>0</v>
      </c>
      <c r="L31" s="60">
        <f t="shared" si="31"/>
        <v>0</v>
      </c>
      <c r="M31" s="60">
        <f t="shared" si="31"/>
        <v>0</v>
      </c>
      <c r="N31" s="62">
        <f t="shared" si="31"/>
        <v>0</v>
      </c>
      <c r="O31" s="61">
        <f t="shared" ref="O31:Z31" si="32">IF(O$35&gt;0,O20/(O$35*(12/O$36)/365),0)</f>
        <v>39.94684179194946</v>
      </c>
      <c r="P31" s="60">
        <f t="shared" si="32"/>
        <v>37.983891644211205</v>
      </c>
      <c r="Q31" s="60">
        <f t="shared" si="32"/>
        <v>36.888664392927986</v>
      </c>
      <c r="R31" s="60">
        <f t="shared" si="32"/>
        <v>34.373093394928119</v>
      </c>
      <c r="S31" s="60">
        <f t="shared" si="32"/>
        <v>36.76701281847906</v>
      </c>
      <c r="T31" s="60">
        <f t="shared" si="32"/>
        <v>36.616291412367218</v>
      </c>
      <c r="U31" s="60">
        <f t="shared" si="32"/>
        <v>38.733073123526538</v>
      </c>
      <c r="V31" s="60">
        <f t="shared" si="32"/>
        <v>38.12035230861273</v>
      </c>
      <c r="W31" s="60">
        <f t="shared" si="32"/>
        <v>37.554287754458642</v>
      </c>
      <c r="X31" s="60">
        <f t="shared" si="32"/>
        <v>33.866966219245505</v>
      </c>
      <c r="Y31" s="60">
        <f t="shared" si="32"/>
        <v>32.454406852910445</v>
      </c>
      <c r="Z31" s="62">
        <f t="shared" si="32"/>
        <v>38.767373143668451</v>
      </c>
      <c r="AA31" s="61">
        <f t="shared" si="31"/>
        <v>42.215558824316602</v>
      </c>
      <c r="AB31" s="60">
        <f t="shared" si="31"/>
        <v>39.616436737062777</v>
      </c>
      <c r="AC31" s="60">
        <f t="shared" si="31"/>
        <v>35.999970481886571</v>
      </c>
      <c r="AD31" s="60">
        <f t="shared" si="31"/>
        <v>32.430315845802482</v>
      </c>
      <c r="AE31" s="60">
        <f t="shared" si="31"/>
        <v>33.230941076613618</v>
      </c>
      <c r="AF31" s="60">
        <f t="shared" si="31"/>
        <v>33.094375403074871</v>
      </c>
      <c r="AG31" s="60">
        <f t="shared" si="31"/>
        <v>36.735366148033599</v>
      </c>
      <c r="AH31" s="60">
        <f t="shared" si="31"/>
        <v>36.473591983398371</v>
      </c>
      <c r="AI31" s="60">
        <f t="shared" si="31"/>
        <v>35.584982703692155</v>
      </c>
      <c r="AJ31" s="60">
        <f t="shared" si="31"/>
        <v>32.897943003092884</v>
      </c>
      <c r="AK31" s="60">
        <f t="shared" si="31"/>
        <v>31.077128779225148</v>
      </c>
      <c r="AL31" s="62">
        <f t="shared" si="31"/>
        <v>38.830927847166791</v>
      </c>
      <c r="AM31" s="61">
        <f t="shared" ref="AM31:AY31" si="33">IF(AM$35&gt;0,AM20/(AM$35*(12/AM$36)/365),0)</f>
        <v>-1.4965340130206355E-2</v>
      </c>
      <c r="AN31" s="60">
        <f t="shared" si="33"/>
        <v>51.056310222879432</v>
      </c>
      <c r="AO31" s="60">
        <f t="shared" si="33"/>
        <v>46.898933328947535</v>
      </c>
      <c r="AP31" s="60">
        <f t="shared" si="33"/>
        <v>45.083358414673995</v>
      </c>
      <c r="AQ31" s="60">
        <f t="shared" si="33"/>
        <v>50.025518685338874</v>
      </c>
      <c r="AR31" s="60">
        <f t="shared" si="33"/>
        <v>51.631186708644847</v>
      </c>
      <c r="AS31" s="60">
        <f t="shared" si="33"/>
        <v>50.67933561107408</v>
      </c>
      <c r="AT31" s="60">
        <f t="shared" si="33"/>
        <v>47.899291916827735</v>
      </c>
      <c r="AU31" s="60">
        <f t="shared" si="33"/>
        <v>43.820640868806457</v>
      </c>
      <c r="AV31" s="60">
        <f t="shared" si="33"/>
        <v>41.689637279755267</v>
      </c>
      <c r="AW31" s="60">
        <f t="shared" si="33"/>
        <v>40.471760688763261</v>
      </c>
      <c r="AX31" s="62">
        <f t="shared" si="33"/>
        <v>44.471167208140059</v>
      </c>
      <c r="AY31" s="85">
        <f t="shared" si="33"/>
        <v>46.834353826921927</v>
      </c>
    </row>
    <row r="32" spans="2:52" s="56" customFormat="1" ht="26.25" hidden="1" customHeight="1" outlineLevel="1" thickBot="1">
      <c r="B32" s="84" t="s">
        <v>34</v>
      </c>
      <c r="C32" s="58">
        <f t="shared" ref="C32:AL32" si="34">SUM(C28:C31)</f>
        <v>74.754576511792294</v>
      </c>
      <c r="D32" s="57">
        <f t="shared" si="34"/>
        <v>62.940903459199717</v>
      </c>
      <c r="E32" s="57">
        <f t="shared" si="34"/>
        <v>57.237253276889909</v>
      </c>
      <c r="F32" s="57">
        <f t="shared" si="34"/>
        <v>53.543113594837905</v>
      </c>
      <c r="G32" s="57">
        <f t="shared" si="34"/>
        <v>0</v>
      </c>
      <c r="H32" s="57">
        <f t="shared" si="34"/>
        <v>0</v>
      </c>
      <c r="I32" s="57">
        <f t="shared" si="34"/>
        <v>0</v>
      </c>
      <c r="J32" s="57">
        <f t="shared" si="34"/>
        <v>0</v>
      </c>
      <c r="K32" s="57">
        <f t="shared" si="34"/>
        <v>0</v>
      </c>
      <c r="L32" s="57">
        <f t="shared" si="34"/>
        <v>0</v>
      </c>
      <c r="M32" s="57">
        <f t="shared" si="34"/>
        <v>0</v>
      </c>
      <c r="N32" s="59">
        <f t="shared" si="34"/>
        <v>0</v>
      </c>
      <c r="O32" s="58">
        <f t="shared" ref="O32:Z32" si="35">SUM(O28:O31)</f>
        <v>75.094832532225027</v>
      </c>
      <c r="P32" s="57">
        <f t="shared" si="35"/>
        <v>63.053656627443573</v>
      </c>
      <c r="Q32" s="57">
        <f t="shared" si="35"/>
        <v>57.237253276889909</v>
      </c>
      <c r="R32" s="57">
        <f t="shared" si="35"/>
        <v>57.052555964606</v>
      </c>
      <c r="S32" s="57">
        <f t="shared" si="35"/>
        <v>61.248238285673921</v>
      </c>
      <c r="T32" s="57">
        <f t="shared" si="35"/>
        <v>61.16515432125037</v>
      </c>
      <c r="U32" s="57">
        <f t="shared" si="35"/>
        <v>63.809991652051579</v>
      </c>
      <c r="V32" s="57">
        <f t="shared" si="35"/>
        <v>60.370520991645293</v>
      </c>
      <c r="W32" s="57">
        <f t="shared" si="35"/>
        <v>57.381798815575841</v>
      </c>
      <c r="X32" s="57">
        <f t="shared" si="35"/>
        <v>53.920258998183577</v>
      </c>
      <c r="Y32" s="57">
        <f t="shared" si="35"/>
        <v>51.219300192360649</v>
      </c>
      <c r="Z32" s="59">
        <f t="shared" si="35"/>
        <v>61.996140955457783</v>
      </c>
      <c r="AA32" s="58">
        <f t="shared" si="34"/>
        <v>78.8464996266421</v>
      </c>
      <c r="AB32" s="57">
        <f t="shared" si="34"/>
        <v>74.371400956690351</v>
      </c>
      <c r="AC32" s="57">
        <f t="shared" si="34"/>
        <v>68.126420257166089</v>
      </c>
      <c r="AD32" s="57">
        <f t="shared" si="34"/>
        <v>61.135020570832793</v>
      </c>
      <c r="AE32" s="57">
        <f t="shared" si="34"/>
        <v>62.655474373394121</v>
      </c>
      <c r="AF32" s="57">
        <f t="shared" si="34"/>
        <v>62.733991620757095</v>
      </c>
      <c r="AG32" s="57">
        <f t="shared" si="34"/>
        <v>70.974484112928167</v>
      </c>
      <c r="AH32" s="57">
        <f t="shared" si="34"/>
        <v>68.445387871459587</v>
      </c>
      <c r="AI32" s="57">
        <f t="shared" si="34"/>
        <v>64.829429134287949</v>
      </c>
      <c r="AJ32" s="57">
        <f t="shared" si="34"/>
        <v>63.433175603272737</v>
      </c>
      <c r="AK32" s="57">
        <f t="shared" si="34"/>
        <v>61.113326422130051</v>
      </c>
      <c r="AL32" s="59">
        <f t="shared" si="34"/>
        <v>75.613048562616427</v>
      </c>
      <c r="AM32" s="58">
        <f t="shared" ref="AM32:AY32" si="36">SUM(AM28:AM31)</f>
        <v>-1.4965340130206355E-2</v>
      </c>
      <c r="AN32" s="57">
        <f t="shared" si="36"/>
        <v>93.831600631751314</v>
      </c>
      <c r="AO32" s="57">
        <f t="shared" si="36"/>
        <v>84.290599803451897</v>
      </c>
      <c r="AP32" s="57">
        <f t="shared" si="36"/>
        <v>83.696466805753161</v>
      </c>
      <c r="AQ32" s="57">
        <f t="shared" si="36"/>
        <v>94.88228146695738</v>
      </c>
      <c r="AR32" s="57">
        <f t="shared" si="36"/>
        <v>98.15219295855448</v>
      </c>
      <c r="AS32" s="57">
        <f t="shared" si="36"/>
        <v>98.545049975541474</v>
      </c>
      <c r="AT32" s="57">
        <f t="shared" si="36"/>
        <v>90.096854131633521</v>
      </c>
      <c r="AU32" s="57">
        <f t="shared" si="36"/>
        <v>87.671810095278943</v>
      </c>
      <c r="AV32" s="57">
        <f t="shared" si="36"/>
        <v>88.71069363336693</v>
      </c>
      <c r="AW32" s="57">
        <f t="shared" si="36"/>
        <v>83.494059181668305</v>
      </c>
      <c r="AX32" s="59">
        <f t="shared" si="36"/>
        <v>82.856322632269269</v>
      </c>
      <c r="AY32" s="83">
        <f t="shared" si="36"/>
        <v>89.803135547848598</v>
      </c>
    </row>
    <row r="33" spans="2:52" s="40" customFormat="1" ht="19.5" hidden="1" customHeight="1" outlineLevel="1">
      <c r="B33" s="81" t="s">
        <v>33</v>
      </c>
      <c r="C33" s="53">
        <f t="shared" ref="C33:AL33" si="37">-C111</f>
        <v>4355.7452599999997</v>
      </c>
      <c r="D33" s="52">
        <f t="shared" si="37"/>
        <v>10730.60908</v>
      </c>
      <c r="E33" s="52">
        <f t="shared" si="37"/>
        <v>17280.407779999998</v>
      </c>
      <c r="F33" s="52">
        <f t="shared" si="37"/>
        <v>17094.222020000001</v>
      </c>
      <c r="G33" s="52">
        <f t="shared" si="37"/>
        <v>-10730.60908</v>
      </c>
      <c r="H33" s="52">
        <f t="shared" si="37"/>
        <v>-17280.407779999998</v>
      </c>
      <c r="I33" s="52">
        <f t="shared" si="37"/>
        <v>-21449.967280000001</v>
      </c>
      <c r="J33" s="52">
        <f t="shared" si="37"/>
        <v>0</v>
      </c>
      <c r="K33" s="52">
        <f t="shared" si="37"/>
        <v>0</v>
      </c>
      <c r="L33" s="52">
        <f t="shared" si="37"/>
        <v>0</v>
      </c>
      <c r="M33" s="52">
        <f t="shared" si="37"/>
        <v>0</v>
      </c>
      <c r="N33" s="54">
        <f t="shared" si="37"/>
        <v>0</v>
      </c>
      <c r="O33" s="53">
        <f t="shared" ref="O33:Z33" si="38">-O111</f>
        <v>4329.4659799999999</v>
      </c>
      <c r="P33" s="52">
        <f t="shared" si="38"/>
        <v>10704.329800000001</v>
      </c>
      <c r="Q33" s="52">
        <f t="shared" si="38"/>
        <v>17280.407779999998</v>
      </c>
      <c r="R33" s="52">
        <f t="shared" si="38"/>
        <v>17615.690399999999</v>
      </c>
      <c r="S33" s="52">
        <f t="shared" si="38"/>
        <v>15961.503579999999</v>
      </c>
      <c r="T33" s="52">
        <f t="shared" si="38"/>
        <v>14951.025600000001</v>
      </c>
      <c r="U33" s="52">
        <f t="shared" si="38"/>
        <v>15718.966999999997</v>
      </c>
      <c r="V33" s="52">
        <f t="shared" si="38"/>
        <v>15690.599999999995</v>
      </c>
      <c r="W33" s="52">
        <f t="shared" si="38"/>
        <v>15778.09</v>
      </c>
      <c r="X33" s="52">
        <f t="shared" si="38"/>
        <v>15293.560000000005</v>
      </c>
      <c r="Y33" s="52">
        <f t="shared" si="38"/>
        <v>14438.169999999998</v>
      </c>
      <c r="Z33" s="54">
        <f t="shared" si="38"/>
        <v>11501.414000000004</v>
      </c>
      <c r="AA33" s="53">
        <f t="shared" si="37"/>
        <v>4374.5990000000011</v>
      </c>
      <c r="AB33" s="52">
        <f t="shared" si="37"/>
        <v>9273.4530000000013</v>
      </c>
      <c r="AC33" s="52">
        <f t="shared" si="37"/>
        <v>14662.092999999999</v>
      </c>
      <c r="AD33" s="52">
        <f t="shared" si="37"/>
        <v>16270.737999999998</v>
      </c>
      <c r="AE33" s="52">
        <f t="shared" si="37"/>
        <v>16063.913</v>
      </c>
      <c r="AF33" s="52">
        <f t="shared" si="37"/>
        <v>15619.414999999999</v>
      </c>
      <c r="AG33" s="52">
        <f t="shared" si="37"/>
        <v>15227.204999999994</v>
      </c>
      <c r="AH33" s="52">
        <f t="shared" si="37"/>
        <v>14664.667999999991</v>
      </c>
      <c r="AI33" s="52">
        <f t="shared" si="37"/>
        <v>15162.660999999996</v>
      </c>
      <c r="AJ33" s="52">
        <f t="shared" si="37"/>
        <v>14020.134000000013</v>
      </c>
      <c r="AK33" s="52">
        <f t="shared" si="37"/>
        <v>13785.809000000016</v>
      </c>
      <c r="AL33" s="54">
        <f t="shared" si="37"/>
        <v>10773.92500000001</v>
      </c>
      <c r="AM33" s="53">
        <f t="shared" ref="AM33:AY33" si="39">-AM111</f>
        <v>4878.6342109999996</v>
      </c>
      <c r="AN33" s="52">
        <f t="shared" si="39"/>
        <v>10563.594000000001</v>
      </c>
      <c r="AO33" s="52">
        <f t="shared" si="39"/>
        <v>15949.579210999998</v>
      </c>
      <c r="AP33" s="52">
        <f t="shared" si="39"/>
        <v>20164.797211000001</v>
      </c>
      <c r="AQ33" s="52">
        <f t="shared" si="39"/>
        <v>13248.309210999996</v>
      </c>
      <c r="AR33" s="52">
        <f t="shared" si="39"/>
        <v>12588.302000000001</v>
      </c>
      <c r="AS33" s="52">
        <f t="shared" si="39"/>
        <v>13929.232000000007</v>
      </c>
      <c r="AT33" s="52">
        <f t="shared" si="39"/>
        <v>13998.458000000006</v>
      </c>
      <c r="AU33" s="52">
        <f t="shared" si="39"/>
        <v>12538.133000000002</v>
      </c>
      <c r="AV33" s="52">
        <f t="shared" si="39"/>
        <v>11056.192999999992</v>
      </c>
      <c r="AW33" s="52">
        <f t="shared" si="39"/>
        <v>10766.375</v>
      </c>
      <c r="AX33" s="54">
        <f t="shared" si="39"/>
        <v>9984.575619999996</v>
      </c>
      <c r="AY33" s="55">
        <f t="shared" si="39"/>
        <v>10553.649000000005</v>
      </c>
      <c r="AZ33" s="82"/>
    </row>
    <row r="34" spans="2:52" s="40" customFormat="1" ht="19.5" hidden="1" customHeight="1" outlineLevel="1">
      <c r="B34" s="81" t="s">
        <v>32</v>
      </c>
      <c r="C34" s="53">
        <f t="shared" ref="C34:AL34" si="40">-C120</f>
        <v>3452.69</v>
      </c>
      <c r="D34" s="52">
        <f t="shared" si="40"/>
        <v>7362.764000000001</v>
      </c>
      <c r="E34" s="52">
        <f t="shared" si="40"/>
        <v>11373.571</v>
      </c>
      <c r="F34" s="52">
        <f t="shared" si="40"/>
        <v>11821.232999999998</v>
      </c>
      <c r="G34" s="52">
        <f t="shared" si="40"/>
        <v>-7362.764000000001</v>
      </c>
      <c r="H34" s="52">
        <f t="shared" si="40"/>
        <v>-11373.571</v>
      </c>
      <c r="I34" s="52">
        <f t="shared" si="40"/>
        <v>-15273.922999999999</v>
      </c>
      <c r="J34" s="52">
        <f t="shared" si="40"/>
        <v>0</v>
      </c>
      <c r="K34" s="52">
        <f t="shared" si="40"/>
        <v>0</v>
      </c>
      <c r="L34" s="52">
        <f t="shared" si="40"/>
        <v>0</v>
      </c>
      <c r="M34" s="52">
        <f t="shared" si="40"/>
        <v>0</v>
      </c>
      <c r="N34" s="54">
        <f t="shared" si="40"/>
        <v>0</v>
      </c>
      <c r="O34" s="53">
        <f t="shared" ref="O34:Z34" si="41">-O120</f>
        <v>3452.69</v>
      </c>
      <c r="P34" s="52">
        <f t="shared" si="41"/>
        <v>7362.764000000001</v>
      </c>
      <c r="Q34" s="52">
        <f t="shared" si="41"/>
        <v>11373.571</v>
      </c>
      <c r="R34" s="52">
        <f t="shared" si="41"/>
        <v>11847.674000000001</v>
      </c>
      <c r="S34" s="52">
        <f t="shared" si="41"/>
        <v>11943.377999999995</v>
      </c>
      <c r="T34" s="52">
        <f t="shared" si="41"/>
        <v>12267.147999999997</v>
      </c>
      <c r="U34" s="52">
        <f t="shared" si="41"/>
        <v>11530.005999999998</v>
      </c>
      <c r="V34" s="52">
        <f t="shared" si="41"/>
        <v>10916.158000000003</v>
      </c>
      <c r="W34" s="52">
        <f t="shared" si="41"/>
        <v>10494.893000000004</v>
      </c>
      <c r="X34" s="52">
        <f t="shared" si="41"/>
        <v>11191.105999999996</v>
      </c>
      <c r="Y34" s="52">
        <f t="shared" si="41"/>
        <v>11586.217999999997</v>
      </c>
      <c r="Z34" s="54">
        <f t="shared" si="41"/>
        <v>10196.084000000003</v>
      </c>
      <c r="AA34" s="53">
        <f t="shared" si="40"/>
        <v>3384.3719999999994</v>
      </c>
      <c r="AB34" s="52">
        <f t="shared" si="40"/>
        <v>7408.1020000000008</v>
      </c>
      <c r="AC34" s="52">
        <f t="shared" si="40"/>
        <v>12033.380000000001</v>
      </c>
      <c r="AD34" s="52">
        <f t="shared" si="40"/>
        <v>13030.902000000002</v>
      </c>
      <c r="AE34" s="52">
        <f t="shared" si="40"/>
        <v>12989.407000000001</v>
      </c>
      <c r="AF34" s="52">
        <f t="shared" si="40"/>
        <v>12833.735000000001</v>
      </c>
      <c r="AG34" s="52">
        <f t="shared" si="40"/>
        <v>11808.157999999999</v>
      </c>
      <c r="AH34" s="52">
        <f t="shared" si="40"/>
        <v>11348.199999999997</v>
      </c>
      <c r="AI34" s="52">
        <f t="shared" si="40"/>
        <v>10798.66</v>
      </c>
      <c r="AJ34" s="52">
        <f t="shared" si="40"/>
        <v>11246.044000000002</v>
      </c>
      <c r="AK34" s="52">
        <f t="shared" si="40"/>
        <v>11452.400000000005</v>
      </c>
      <c r="AL34" s="54">
        <f t="shared" si="40"/>
        <v>10031.397999999994</v>
      </c>
      <c r="AM34" s="53">
        <f t="shared" ref="AM34:AY34" si="42">-AM120</f>
        <v>3275.652</v>
      </c>
      <c r="AN34" s="52">
        <f t="shared" si="42"/>
        <v>8074.6739999999991</v>
      </c>
      <c r="AO34" s="52">
        <f t="shared" si="42"/>
        <v>12705.401</v>
      </c>
      <c r="AP34" s="52">
        <f t="shared" si="42"/>
        <v>16452.228000000003</v>
      </c>
      <c r="AQ34" s="52">
        <f t="shared" si="42"/>
        <v>11822.155000000002</v>
      </c>
      <c r="AR34" s="52">
        <f t="shared" si="42"/>
        <v>11157.832</v>
      </c>
      <c r="AS34" s="52">
        <f t="shared" si="42"/>
        <v>11044.490999999995</v>
      </c>
      <c r="AT34" s="52">
        <f t="shared" si="42"/>
        <v>10930.145999999997</v>
      </c>
      <c r="AU34" s="52">
        <f t="shared" si="42"/>
        <v>11136.576000000001</v>
      </c>
      <c r="AV34" s="52">
        <f t="shared" si="42"/>
        <v>11403.823000000011</v>
      </c>
      <c r="AW34" s="52">
        <f t="shared" si="42"/>
        <v>11609.295999999995</v>
      </c>
      <c r="AX34" s="54">
        <f t="shared" si="42"/>
        <v>10614.546999999999</v>
      </c>
      <c r="AY34" s="55">
        <f t="shared" si="42"/>
        <v>9876.3339999999953</v>
      </c>
      <c r="AZ34" s="82"/>
    </row>
    <row r="35" spans="2:52" s="40" customFormat="1" ht="19.5" hidden="1" customHeight="1" outlineLevel="1">
      <c r="B35" s="81" t="s">
        <v>31</v>
      </c>
      <c r="C35" s="53">
        <f t="shared" ref="C35:AL35" si="43">C33+C34</f>
        <v>7808.4352600000002</v>
      </c>
      <c r="D35" s="52">
        <f t="shared" si="43"/>
        <v>18093.373080000001</v>
      </c>
      <c r="E35" s="52">
        <f t="shared" si="43"/>
        <v>28653.978779999998</v>
      </c>
      <c r="F35" s="52">
        <f t="shared" si="43"/>
        <v>28915.455020000001</v>
      </c>
      <c r="G35" s="52">
        <f t="shared" si="43"/>
        <v>-18093.373080000001</v>
      </c>
      <c r="H35" s="52">
        <f t="shared" si="43"/>
        <v>-28653.978779999998</v>
      </c>
      <c r="I35" s="52">
        <f t="shared" si="43"/>
        <v>-36723.89028</v>
      </c>
      <c r="J35" s="52">
        <f t="shared" si="43"/>
        <v>0</v>
      </c>
      <c r="K35" s="52">
        <f t="shared" si="43"/>
        <v>0</v>
      </c>
      <c r="L35" s="52">
        <f t="shared" si="43"/>
        <v>0</v>
      </c>
      <c r="M35" s="52">
        <f t="shared" si="43"/>
        <v>0</v>
      </c>
      <c r="N35" s="54">
        <f t="shared" si="43"/>
        <v>0</v>
      </c>
      <c r="O35" s="53">
        <f t="shared" ref="O35:Z35" si="44">O33+O34</f>
        <v>7782.1559799999995</v>
      </c>
      <c r="P35" s="52">
        <f t="shared" si="44"/>
        <v>18067.093800000002</v>
      </c>
      <c r="Q35" s="52">
        <f t="shared" si="44"/>
        <v>28653.978779999998</v>
      </c>
      <c r="R35" s="52">
        <f t="shared" si="44"/>
        <v>29463.364399999999</v>
      </c>
      <c r="S35" s="52">
        <f t="shared" si="44"/>
        <v>27904.881579999994</v>
      </c>
      <c r="T35" s="52">
        <f t="shared" si="44"/>
        <v>27218.173599999998</v>
      </c>
      <c r="U35" s="52">
        <f t="shared" si="44"/>
        <v>27248.972999999994</v>
      </c>
      <c r="V35" s="52">
        <f t="shared" si="44"/>
        <v>26606.757999999998</v>
      </c>
      <c r="W35" s="52">
        <f t="shared" si="44"/>
        <v>26272.983000000004</v>
      </c>
      <c r="X35" s="52">
        <f t="shared" si="44"/>
        <v>26484.666000000001</v>
      </c>
      <c r="Y35" s="52">
        <f t="shared" si="44"/>
        <v>26024.387999999995</v>
      </c>
      <c r="Z35" s="54">
        <f t="shared" si="44"/>
        <v>21697.498000000007</v>
      </c>
      <c r="AA35" s="53">
        <f t="shared" si="43"/>
        <v>7758.9710000000005</v>
      </c>
      <c r="AB35" s="52">
        <f t="shared" si="43"/>
        <v>16681.555</v>
      </c>
      <c r="AC35" s="52">
        <f t="shared" si="43"/>
        <v>26695.472999999998</v>
      </c>
      <c r="AD35" s="52">
        <f t="shared" si="43"/>
        <v>29301.64</v>
      </c>
      <c r="AE35" s="52">
        <f t="shared" si="43"/>
        <v>29053.32</v>
      </c>
      <c r="AF35" s="52">
        <f t="shared" si="43"/>
        <v>28453.15</v>
      </c>
      <c r="AG35" s="52">
        <f t="shared" si="43"/>
        <v>27035.362999999994</v>
      </c>
      <c r="AH35" s="52">
        <f t="shared" si="43"/>
        <v>26012.867999999988</v>
      </c>
      <c r="AI35" s="52">
        <f t="shared" si="43"/>
        <v>25961.320999999996</v>
      </c>
      <c r="AJ35" s="52">
        <f t="shared" si="43"/>
        <v>25266.178000000014</v>
      </c>
      <c r="AK35" s="52">
        <f t="shared" si="43"/>
        <v>25238.209000000021</v>
      </c>
      <c r="AL35" s="54">
        <f t="shared" si="43"/>
        <v>20805.323000000004</v>
      </c>
      <c r="AM35" s="53">
        <f t="shared" ref="AM35:AY35" si="45">AM33+AM34</f>
        <v>8154.2862109999996</v>
      </c>
      <c r="AN35" s="52">
        <f t="shared" si="45"/>
        <v>18638.268</v>
      </c>
      <c r="AO35" s="52">
        <f t="shared" si="45"/>
        <v>28654.980210999998</v>
      </c>
      <c r="AP35" s="52">
        <f t="shared" si="45"/>
        <v>36617.025211</v>
      </c>
      <c r="AQ35" s="52">
        <f t="shared" si="45"/>
        <v>25070.464210999999</v>
      </c>
      <c r="AR35" s="52">
        <f t="shared" si="45"/>
        <v>23746.134000000002</v>
      </c>
      <c r="AS35" s="52">
        <f t="shared" si="45"/>
        <v>24973.723000000002</v>
      </c>
      <c r="AT35" s="52">
        <f t="shared" si="45"/>
        <v>24928.604000000003</v>
      </c>
      <c r="AU35" s="52">
        <f t="shared" si="45"/>
        <v>23674.709000000003</v>
      </c>
      <c r="AV35" s="52">
        <f t="shared" si="45"/>
        <v>22460.016000000003</v>
      </c>
      <c r="AW35" s="52">
        <f t="shared" si="45"/>
        <v>22375.670999999995</v>
      </c>
      <c r="AX35" s="54">
        <f t="shared" si="45"/>
        <v>20599.122619999995</v>
      </c>
      <c r="AY35" s="55">
        <f t="shared" si="45"/>
        <v>20429.983</v>
      </c>
    </row>
    <row r="36" spans="2:52" s="40" customFormat="1" ht="19.5" hidden="1" customHeight="1" outlineLevel="1" thickBot="1">
      <c r="B36" s="80" t="s">
        <v>19</v>
      </c>
      <c r="C36" s="47">
        <v>1</v>
      </c>
      <c r="D36" s="50">
        <v>2</v>
      </c>
      <c r="E36" s="46">
        <v>3</v>
      </c>
      <c r="F36" s="46">
        <v>3</v>
      </c>
      <c r="G36" s="46">
        <v>3</v>
      </c>
      <c r="H36" s="46">
        <v>3</v>
      </c>
      <c r="I36" s="46">
        <v>3</v>
      </c>
      <c r="J36" s="46">
        <v>3</v>
      </c>
      <c r="K36" s="46">
        <v>3</v>
      </c>
      <c r="L36" s="46">
        <v>3</v>
      </c>
      <c r="M36" s="46">
        <v>3</v>
      </c>
      <c r="N36" s="48">
        <v>3</v>
      </c>
      <c r="O36" s="47">
        <v>1</v>
      </c>
      <c r="P36" s="50">
        <v>2</v>
      </c>
      <c r="Q36" s="46">
        <v>3</v>
      </c>
      <c r="R36" s="46">
        <v>3</v>
      </c>
      <c r="S36" s="46">
        <v>3</v>
      </c>
      <c r="T36" s="46">
        <v>3</v>
      </c>
      <c r="U36" s="46">
        <v>3</v>
      </c>
      <c r="V36" s="46">
        <v>3</v>
      </c>
      <c r="W36" s="46">
        <v>3</v>
      </c>
      <c r="X36" s="46">
        <v>3</v>
      </c>
      <c r="Y36" s="46">
        <v>3</v>
      </c>
      <c r="Z36" s="48">
        <v>3</v>
      </c>
      <c r="AA36" s="47">
        <v>1</v>
      </c>
      <c r="AB36" s="50">
        <v>2</v>
      </c>
      <c r="AC36" s="46">
        <v>3</v>
      </c>
      <c r="AD36" s="46">
        <v>3</v>
      </c>
      <c r="AE36" s="46">
        <v>3</v>
      </c>
      <c r="AF36" s="46">
        <v>3</v>
      </c>
      <c r="AG36" s="46">
        <v>3</v>
      </c>
      <c r="AH36" s="46">
        <v>3</v>
      </c>
      <c r="AI36" s="46">
        <v>3</v>
      </c>
      <c r="AJ36" s="46">
        <v>3</v>
      </c>
      <c r="AK36" s="46">
        <v>3</v>
      </c>
      <c r="AL36" s="48">
        <v>3</v>
      </c>
      <c r="AM36" s="47">
        <v>1</v>
      </c>
      <c r="AN36" s="50">
        <v>2</v>
      </c>
      <c r="AO36" s="46">
        <v>3</v>
      </c>
      <c r="AP36" s="51">
        <v>4</v>
      </c>
      <c r="AQ36" s="46">
        <v>3</v>
      </c>
      <c r="AR36" s="46">
        <v>3</v>
      </c>
      <c r="AS36" s="46">
        <v>3</v>
      </c>
      <c r="AT36" s="46">
        <v>3</v>
      </c>
      <c r="AU36" s="46">
        <v>3</v>
      </c>
      <c r="AV36" s="50">
        <v>3</v>
      </c>
      <c r="AW36" s="46">
        <v>3</v>
      </c>
      <c r="AX36" s="48">
        <v>3</v>
      </c>
      <c r="AY36" s="49">
        <v>3</v>
      </c>
    </row>
    <row r="37" spans="2:52" s="40" customFormat="1" ht="15.75" hidden="1" outlineLevel="1">
      <c r="B37" s="79" t="s">
        <v>30</v>
      </c>
    </row>
    <row r="38" spans="2:52" s="40" customFormat="1" ht="15.75" hidden="1" outlineLevel="1">
      <c r="B38" s="79" t="s">
        <v>29</v>
      </c>
    </row>
    <row r="39" spans="2:52" s="40" customFormat="1" ht="15.75" hidden="1" outlineLevel="1">
      <c r="B39" s="79" t="s">
        <v>28</v>
      </c>
    </row>
    <row r="40" spans="2:52" s="40" customFormat="1" ht="15.75" collapsed="1"/>
    <row r="41" spans="2:52" s="40" customFormat="1" ht="16.5" thickBot="1"/>
    <row r="42" spans="2:52" s="40" customFormat="1" ht="18" customHeight="1">
      <c r="B42" s="78" t="s">
        <v>27</v>
      </c>
      <c r="C42" s="299" t="str">
        <f>+"31-01-"&amp;MID($A$1,3,2)</f>
        <v>31-01-13</v>
      </c>
      <c r="D42" s="300" t="str">
        <f>+"29-02-"&amp;MID($A$1,3,2)</f>
        <v>29-02-13</v>
      </c>
      <c r="E42" s="300" t="str">
        <f>+"31-03-"&amp;MID($A$1,3,2)</f>
        <v>31-03-13</v>
      </c>
      <c r="F42" s="317" t="str">
        <f>+"30-04-"&amp;MID($A$1,3,2)</f>
        <v>30-04-13</v>
      </c>
      <c r="G42" s="300" t="str">
        <f>+"31-05-"&amp;MID($A$1,3,2)</f>
        <v>31-05-13</v>
      </c>
      <c r="H42" s="300" t="str">
        <f>+"30-06-"&amp;MID($A$1,3,2)</f>
        <v>30-06-13</v>
      </c>
      <c r="I42" s="300" t="str">
        <f>+"31-07-"&amp;MID($A$1,3,2)</f>
        <v>31-07-13</v>
      </c>
      <c r="J42" s="300" t="str">
        <f>+"31-08-"&amp;MID($A$1,3,2)</f>
        <v>31-08-13</v>
      </c>
      <c r="K42" s="300" t="str">
        <f>+"30-09-"&amp;MID($A$1,3,2)</f>
        <v>30-09-13</v>
      </c>
      <c r="L42" s="300" t="str">
        <f>+"31-10-"&amp;MID($A$1,3,2)</f>
        <v>31-10-13</v>
      </c>
      <c r="M42" s="300" t="str">
        <f>+"30-11-"&amp;MID($A$1,3,2)</f>
        <v>30-11-13</v>
      </c>
      <c r="N42" s="301" t="str">
        <f>+"31-12-"&amp;MID($A$1,3,2)</f>
        <v>31-12-13</v>
      </c>
      <c r="O42" s="299" t="str">
        <f>+"31-01-"&amp;MID($A$1,3,2)</f>
        <v>31-01-13</v>
      </c>
      <c r="P42" s="300" t="str">
        <f>+"29-02-"&amp;MID($A$1,3,2)</f>
        <v>29-02-13</v>
      </c>
      <c r="Q42" s="300" t="str">
        <f>+"31-03-"&amp;MID($A$1,3,2)-2</f>
        <v>31-03-11</v>
      </c>
      <c r="R42" s="300" t="str">
        <f>+"30-04-"&amp;MID($A$1,3,2)</f>
        <v>30-04-13</v>
      </c>
      <c r="S42" s="300" t="str">
        <f>+"31-05-"&amp;MID($A$1,3,2)</f>
        <v>31-05-13</v>
      </c>
      <c r="T42" s="300" t="str">
        <f>+"30-06-"&amp;MID($A$1,3,2)</f>
        <v>30-06-13</v>
      </c>
      <c r="U42" s="300" t="str">
        <f>+"31-07-"&amp;MID($A$1,3,2)</f>
        <v>31-07-13</v>
      </c>
      <c r="V42" s="300" t="str">
        <f>+"31-08-"&amp;MID($A$1,3,2)</f>
        <v>31-08-13</v>
      </c>
      <c r="W42" s="300" t="str">
        <f>+"30-09-"&amp;MID($A$1,3,2)</f>
        <v>30-09-13</v>
      </c>
      <c r="X42" s="300" t="str">
        <f>+"31-10-"&amp;MID($A$1,3,2)</f>
        <v>31-10-13</v>
      </c>
      <c r="Y42" s="300" t="str">
        <f>+"30-11-"&amp;MID($A$1,3,2)</f>
        <v>30-11-13</v>
      </c>
      <c r="Z42" s="301" t="str">
        <f>+"31-12-"&amp;MID($A$1,3,2)</f>
        <v>31-12-13</v>
      </c>
      <c r="AA42" s="299" t="str">
        <f>+"31-01-"&amp;MID($A$1,3,2)</f>
        <v>31-01-13</v>
      </c>
      <c r="AB42" s="300" t="str">
        <f>+"29-02-"&amp;MID($A$1,3,2)</f>
        <v>29-02-13</v>
      </c>
      <c r="AC42" s="300" t="str">
        <f>+"31-03-"&amp;MID($A$1,3,2)-2</f>
        <v>31-03-11</v>
      </c>
      <c r="AD42" s="300" t="str">
        <f>+"30-04-"&amp;MID($A$1,3,2)</f>
        <v>30-04-13</v>
      </c>
      <c r="AE42" s="300" t="str">
        <f>+"31-05-"&amp;MID($A$1,3,2)</f>
        <v>31-05-13</v>
      </c>
      <c r="AF42" s="300" t="str">
        <f>+"30-06-"&amp;MID($A$1,3,2)</f>
        <v>30-06-13</v>
      </c>
      <c r="AG42" s="300" t="str">
        <f>+"31-07-"&amp;MID($A$1,3,2)</f>
        <v>31-07-13</v>
      </c>
      <c r="AH42" s="300" t="str">
        <f>+"31-08-"&amp;MID($A$1,3,2)</f>
        <v>31-08-13</v>
      </c>
      <c r="AI42" s="300" t="str">
        <f>+"30-09-"&amp;MID($A$1,3,2)</f>
        <v>30-09-13</v>
      </c>
      <c r="AJ42" s="300" t="str">
        <f>+"31-10-"&amp;MID($A$1,3,2)</f>
        <v>31-10-13</v>
      </c>
      <c r="AK42" s="300" t="str">
        <f>+"30-11-"&amp;MID($A$1,3,2)</f>
        <v>30-11-13</v>
      </c>
      <c r="AL42" s="301" t="str">
        <f>+"31-12-"&amp;MID($A$1,3,2)</f>
        <v>31-12-13</v>
      </c>
      <c r="AM42" s="299" t="str">
        <f>+"31-01-"&amp;MID($A$1,3,2)-1</f>
        <v>31-01-12</v>
      </c>
      <c r="AN42" s="300" t="str">
        <f>+"29-02-"&amp;MID($A$1,3,2)-1</f>
        <v>29-02-12</v>
      </c>
      <c r="AO42" s="300" t="str">
        <f>+"31-03-"&amp;MID($A$1,3,2)-1</f>
        <v>31-03-12</v>
      </c>
      <c r="AP42" s="300" t="str">
        <f>+"30-04-"&amp;MID($A$1,3,2)-1</f>
        <v>30-04-12</v>
      </c>
      <c r="AQ42" s="300" t="str">
        <f>+"31-05-"&amp;MID($A$1,3,2)-1</f>
        <v>31-05-12</v>
      </c>
      <c r="AR42" s="300" t="str">
        <f>+"30-06-"&amp;MID($A$1,3,2)-1</f>
        <v>30-06-12</v>
      </c>
      <c r="AS42" s="300" t="str">
        <f>+"30-06-"&amp;MID($A$1,3,2)-1</f>
        <v>30-06-12</v>
      </c>
      <c r="AT42" s="300" t="str">
        <f>+"31-08-"&amp;MID($A$1,3,2)-1</f>
        <v>31-08-12</v>
      </c>
      <c r="AU42" s="300" t="str">
        <f>+"30-09-"&amp;MID($A$1,3,2)-1</f>
        <v>30-09-12</v>
      </c>
      <c r="AV42" s="300" t="str">
        <f>+"31-10-"&amp;MID($A$1,3,2)-1</f>
        <v>31-10-12</v>
      </c>
      <c r="AW42" s="300" t="str">
        <f>+"29-02-"&amp;MID($A$1,3,2)-1</f>
        <v>29-02-12</v>
      </c>
      <c r="AX42" s="301" t="str">
        <f>+"31-12-"&amp;MID($A$1,3,2)-1</f>
        <v>31-12-12</v>
      </c>
      <c r="AY42" s="302" t="str">
        <f>+"31-12-"&amp;MID($A$1,3,2)-1</f>
        <v>31-12-12</v>
      </c>
    </row>
    <row r="43" spans="2:52" s="68" customFormat="1" ht="18" customHeight="1" thickBot="1">
      <c r="B43" s="73"/>
      <c r="C43" s="303" t="s">
        <v>7</v>
      </c>
      <c r="D43" s="304" t="s">
        <v>7</v>
      </c>
      <c r="E43" s="304" t="s">
        <v>7</v>
      </c>
      <c r="F43" s="318" t="s">
        <v>7</v>
      </c>
      <c r="G43" s="304" t="s">
        <v>7</v>
      </c>
      <c r="H43" s="304" t="s">
        <v>7</v>
      </c>
      <c r="I43" s="304" t="s">
        <v>7</v>
      </c>
      <c r="J43" s="304" t="s">
        <v>7</v>
      </c>
      <c r="K43" s="304" t="s">
        <v>7</v>
      </c>
      <c r="L43" s="304" t="s">
        <v>7</v>
      </c>
      <c r="M43" s="304" t="s">
        <v>7</v>
      </c>
      <c r="N43" s="305" t="s">
        <v>7</v>
      </c>
      <c r="O43" s="248" t="s">
        <v>145</v>
      </c>
      <c r="P43" s="249" t="s">
        <v>145</v>
      </c>
      <c r="Q43" s="249" t="s">
        <v>145</v>
      </c>
      <c r="R43" s="249" t="s">
        <v>145</v>
      </c>
      <c r="S43" s="249" t="s">
        <v>145</v>
      </c>
      <c r="T43" s="249" t="s">
        <v>145</v>
      </c>
      <c r="U43" s="249" t="s">
        <v>145</v>
      </c>
      <c r="V43" s="249" t="s">
        <v>145</v>
      </c>
      <c r="W43" s="249" t="s">
        <v>145</v>
      </c>
      <c r="X43" s="249" t="s">
        <v>145</v>
      </c>
      <c r="Y43" s="249" t="s">
        <v>145</v>
      </c>
      <c r="Z43" s="250" t="s">
        <v>145</v>
      </c>
      <c r="AA43" s="303" t="s">
        <v>9</v>
      </c>
      <c r="AB43" s="304" t="s">
        <v>9</v>
      </c>
      <c r="AC43" s="304" t="s">
        <v>9</v>
      </c>
      <c r="AD43" s="304" t="s">
        <v>9</v>
      </c>
      <c r="AE43" s="304" t="s">
        <v>9</v>
      </c>
      <c r="AF43" s="304" t="s">
        <v>9</v>
      </c>
      <c r="AG43" s="304" t="s">
        <v>9</v>
      </c>
      <c r="AH43" s="304" t="s">
        <v>9</v>
      </c>
      <c r="AI43" s="304" t="s">
        <v>9</v>
      </c>
      <c r="AJ43" s="304" t="s">
        <v>9</v>
      </c>
      <c r="AK43" s="304" t="s">
        <v>9</v>
      </c>
      <c r="AL43" s="305" t="s">
        <v>9</v>
      </c>
      <c r="AM43" s="303" t="s">
        <v>7</v>
      </c>
      <c r="AN43" s="304" t="s">
        <v>7</v>
      </c>
      <c r="AO43" s="304" t="s">
        <v>7</v>
      </c>
      <c r="AP43" s="304" t="s">
        <v>7</v>
      </c>
      <c r="AQ43" s="304" t="s">
        <v>7</v>
      </c>
      <c r="AR43" s="304" t="s">
        <v>7</v>
      </c>
      <c r="AS43" s="304" t="s">
        <v>7</v>
      </c>
      <c r="AT43" s="304" t="s">
        <v>7</v>
      </c>
      <c r="AU43" s="304" t="s">
        <v>7</v>
      </c>
      <c r="AV43" s="304" t="s">
        <v>7</v>
      </c>
      <c r="AW43" s="304" t="s">
        <v>7</v>
      </c>
      <c r="AX43" s="305" t="s">
        <v>7</v>
      </c>
      <c r="AY43" s="306" t="s">
        <v>26</v>
      </c>
    </row>
    <row r="44" spans="2:52" s="40" customFormat="1" ht="19.5" customHeight="1">
      <c r="B44" s="312" t="s">
        <v>25</v>
      </c>
      <c r="C44" s="283">
        <f t="shared" ref="C44:AL44" si="46">IF(C$49&gt;0,C17/(C$49*(12/C$50)/365),0)</f>
        <v>9.8431709010855268</v>
      </c>
      <c r="D44" s="284">
        <f t="shared" si="46"/>
        <v>7.2750135136845824</v>
      </c>
      <c r="E44" s="284">
        <f t="shared" si="46"/>
        <v>5.7174235368407285</v>
      </c>
      <c r="F44" s="286">
        <f t="shared" si="46"/>
        <v>4.6514662012682138</v>
      </c>
      <c r="G44" s="284">
        <f t="shared" si="46"/>
        <v>0</v>
      </c>
      <c r="H44" s="284">
        <f t="shared" si="46"/>
        <v>0</v>
      </c>
      <c r="I44" s="284">
        <f t="shared" si="46"/>
        <v>0</v>
      </c>
      <c r="J44" s="284">
        <f t="shared" si="46"/>
        <v>0</v>
      </c>
      <c r="K44" s="284">
        <f t="shared" si="46"/>
        <v>0</v>
      </c>
      <c r="L44" s="284">
        <f t="shared" si="46"/>
        <v>0</v>
      </c>
      <c r="M44" s="284">
        <f t="shared" si="46"/>
        <v>0</v>
      </c>
      <c r="N44" s="285">
        <f t="shared" si="46"/>
        <v>0</v>
      </c>
      <c r="O44" s="283">
        <f t="shared" ref="O44:Z44" si="47">IF(O$49&gt;0,O17/(O$49*(12/O$50)/365),0)</f>
        <v>9.8431709010855268</v>
      </c>
      <c r="P44" s="284">
        <f t="shared" si="47"/>
        <v>7.2750135136845824</v>
      </c>
      <c r="Q44" s="284">
        <f t="shared" si="47"/>
        <v>5.7174235368407285</v>
      </c>
      <c r="R44" s="284">
        <f t="shared" si="47"/>
        <v>6.3115543814573991</v>
      </c>
      <c r="S44" s="284">
        <f t="shared" si="47"/>
        <v>6.2329068557384772</v>
      </c>
      <c r="T44" s="284">
        <f t="shared" si="47"/>
        <v>5.7525568595373988</v>
      </c>
      <c r="U44" s="284">
        <f t="shared" si="47"/>
        <v>6.2657371963372803</v>
      </c>
      <c r="V44" s="284">
        <f t="shared" si="47"/>
        <v>5.3706872530017264</v>
      </c>
      <c r="W44" s="284">
        <f t="shared" si="47"/>
        <v>4.7712115260930803</v>
      </c>
      <c r="X44" s="284">
        <f t="shared" si="47"/>
        <v>4.5261730636543591</v>
      </c>
      <c r="Y44" s="284">
        <f t="shared" si="47"/>
        <v>4.1356391709446179</v>
      </c>
      <c r="Z44" s="285">
        <f t="shared" si="47"/>
        <v>5.2451761784548223</v>
      </c>
      <c r="AA44" s="283">
        <f t="shared" si="46"/>
        <v>11.711806771148636</v>
      </c>
      <c r="AB44" s="284">
        <f t="shared" si="46"/>
        <v>10.007633165742581</v>
      </c>
      <c r="AC44" s="284">
        <f t="shared" si="46"/>
        <v>8.7271984127232134</v>
      </c>
      <c r="AD44" s="284">
        <f t="shared" si="46"/>
        <v>7.4061894281705731</v>
      </c>
      <c r="AE44" s="284">
        <f t="shared" si="46"/>
        <v>7.5068428091168018</v>
      </c>
      <c r="AF44" s="284">
        <f t="shared" si="46"/>
        <v>7.5289603198897099</v>
      </c>
      <c r="AG44" s="284">
        <f t="shared" si="46"/>
        <v>8.8874965800639316</v>
      </c>
      <c r="AH44" s="284">
        <f t="shared" si="46"/>
        <v>8.1150729711374989</v>
      </c>
      <c r="AI44" s="284">
        <f t="shared" si="46"/>
        <v>7.5067347927130719</v>
      </c>
      <c r="AJ44" s="284">
        <f t="shared" si="46"/>
        <v>7.3821095659527511</v>
      </c>
      <c r="AK44" s="284">
        <f t="shared" si="46"/>
        <v>7.3606342420356121</v>
      </c>
      <c r="AL44" s="285">
        <f t="shared" si="46"/>
        <v>9.4740314362618481</v>
      </c>
      <c r="AM44" s="283">
        <f t="shared" ref="AM44:AY44" si="48">IF(AM$49&gt;0,AM17/(AM$49*(12/AM$50)/365),0)</f>
        <v>0</v>
      </c>
      <c r="AN44" s="284">
        <f t="shared" si="48"/>
        <v>11.789265807980165</v>
      </c>
      <c r="AO44" s="284">
        <f t="shared" si="48"/>
        <v>10.06491658785874</v>
      </c>
      <c r="AP44" s="284">
        <f t="shared" si="48"/>
        <v>10.002591952891621</v>
      </c>
      <c r="AQ44" s="284">
        <f t="shared" si="48"/>
        <v>10.986840313914854</v>
      </c>
      <c r="AR44" s="284">
        <f t="shared" si="48"/>
        <v>11.426189599432018</v>
      </c>
      <c r="AS44" s="284">
        <f t="shared" si="48"/>
        <v>13.397751866663887</v>
      </c>
      <c r="AT44" s="284">
        <f t="shared" si="48"/>
        <v>11.146475199227142</v>
      </c>
      <c r="AU44" s="284">
        <f t="shared" si="48"/>
        <v>10.395254610394879</v>
      </c>
      <c r="AV44" s="284">
        <f t="shared" si="48"/>
        <v>9.6924846548851935</v>
      </c>
      <c r="AW44" s="284">
        <f t="shared" si="48"/>
        <v>9.0812934467616451</v>
      </c>
      <c r="AX44" s="285">
        <f t="shared" si="48"/>
        <v>9.1817000156710602</v>
      </c>
      <c r="AY44" s="286">
        <f t="shared" si="48"/>
        <v>10.997380154560844</v>
      </c>
    </row>
    <row r="45" spans="2:52" s="40" customFormat="1" ht="19.5" customHeight="1">
      <c r="B45" s="313" t="s">
        <v>24</v>
      </c>
      <c r="C45" s="287">
        <f t="shared" ref="C45:AL45" si="49">IF(C$49&gt;0,C18/(C$49*(12/C$50)/365),0)</f>
        <v>1.2617085958803305</v>
      </c>
      <c r="D45" s="288">
        <f t="shared" si="49"/>
        <v>2.2104931571387181</v>
      </c>
      <c r="E45" s="288">
        <f t="shared" si="49"/>
        <v>1.9621739292831166</v>
      </c>
      <c r="F45" s="290">
        <f t="shared" si="49"/>
        <v>2.1427394893093328</v>
      </c>
      <c r="G45" s="288">
        <f t="shared" si="49"/>
        <v>0</v>
      </c>
      <c r="H45" s="288">
        <f t="shared" si="49"/>
        <v>0</v>
      </c>
      <c r="I45" s="288">
        <f t="shared" si="49"/>
        <v>0</v>
      </c>
      <c r="J45" s="288">
        <f t="shared" si="49"/>
        <v>0</v>
      </c>
      <c r="K45" s="288">
        <f t="shared" si="49"/>
        <v>0</v>
      </c>
      <c r="L45" s="288">
        <f t="shared" si="49"/>
        <v>0</v>
      </c>
      <c r="M45" s="288">
        <f t="shared" si="49"/>
        <v>0</v>
      </c>
      <c r="N45" s="289">
        <f t="shared" si="49"/>
        <v>0</v>
      </c>
      <c r="O45" s="287">
        <f t="shared" ref="O45:Z45" si="50">IF(O$49&gt;0,O18/(O$49*(12/O$50)/365),0)</f>
        <v>1.2617085958803305</v>
      </c>
      <c r="P45" s="288">
        <f t="shared" si="50"/>
        <v>2.2104931571387181</v>
      </c>
      <c r="Q45" s="288">
        <f t="shared" si="50"/>
        <v>1.9621739292831166</v>
      </c>
      <c r="R45" s="288">
        <f t="shared" si="50"/>
        <v>1.7053635852483491</v>
      </c>
      <c r="S45" s="288">
        <f t="shared" si="50"/>
        <v>1.726667740081308</v>
      </c>
      <c r="T45" s="288">
        <f t="shared" si="50"/>
        <v>1.6867152043768414</v>
      </c>
      <c r="U45" s="288">
        <f t="shared" si="50"/>
        <v>1.7109012874486218</v>
      </c>
      <c r="V45" s="288">
        <f t="shared" si="50"/>
        <v>1.6853098087472562</v>
      </c>
      <c r="W45" s="288">
        <f t="shared" si="50"/>
        <v>1.7160713999467345</v>
      </c>
      <c r="X45" s="288">
        <f t="shared" si="50"/>
        <v>1.64657635964289</v>
      </c>
      <c r="Y45" s="288">
        <f t="shared" si="50"/>
        <v>1.7272723636335339</v>
      </c>
      <c r="Z45" s="289">
        <f t="shared" si="50"/>
        <v>2.2019880272207071</v>
      </c>
      <c r="AA45" s="287">
        <f t="shared" si="49"/>
        <v>1.677054365823639</v>
      </c>
      <c r="AB45" s="288">
        <f t="shared" si="49"/>
        <v>1.4299202464832701</v>
      </c>
      <c r="AC45" s="288">
        <f t="shared" si="49"/>
        <v>1.2604743457951229</v>
      </c>
      <c r="AD45" s="288">
        <f t="shared" si="49"/>
        <v>1.0743610527344671</v>
      </c>
      <c r="AE45" s="288">
        <f t="shared" si="49"/>
        <v>1.0840103740686775</v>
      </c>
      <c r="AF45" s="288">
        <f t="shared" si="49"/>
        <v>1.096933342491925</v>
      </c>
      <c r="AG45" s="288">
        <f t="shared" si="49"/>
        <v>1.1475221544874741</v>
      </c>
      <c r="AH45" s="288">
        <f t="shared" si="49"/>
        <v>1.1638259719720012</v>
      </c>
      <c r="AI45" s="288">
        <f t="shared" si="49"/>
        <v>1.1489381424446146</v>
      </c>
      <c r="AJ45" s="288">
        <f t="shared" si="49"/>
        <v>1.1618466011113273</v>
      </c>
      <c r="AK45" s="288">
        <f t="shared" si="49"/>
        <v>1.1925918204878694</v>
      </c>
      <c r="AL45" s="289">
        <f t="shared" si="49"/>
        <v>0.85413013618855349</v>
      </c>
      <c r="AM45" s="287">
        <f t="shared" ref="AM45:AY45" si="51">IF(AM$49&gt;0,AM18/(AM$49*(12/AM$50)/365),0)</f>
        <v>0</v>
      </c>
      <c r="AN45" s="288">
        <f t="shared" si="51"/>
        <v>2.4220740818459867</v>
      </c>
      <c r="AO45" s="288">
        <f t="shared" si="51"/>
        <v>2.0597643301536732</v>
      </c>
      <c r="AP45" s="288">
        <f t="shared" si="51"/>
        <v>1.9264293555116596</v>
      </c>
      <c r="AQ45" s="288">
        <f t="shared" si="51"/>
        <v>2.3924170713307844</v>
      </c>
      <c r="AR45" s="288">
        <f t="shared" si="51"/>
        <v>2.4237147408936024</v>
      </c>
      <c r="AS45" s="288">
        <f t="shared" si="51"/>
        <v>2.7134416158615764</v>
      </c>
      <c r="AT45" s="288">
        <f t="shared" si="51"/>
        <v>2.1786051579082009</v>
      </c>
      <c r="AU45" s="288">
        <f t="shared" si="51"/>
        <v>2.0557446027857251</v>
      </c>
      <c r="AV45" s="288">
        <f t="shared" si="51"/>
        <v>1.7110395337392079</v>
      </c>
      <c r="AW45" s="288">
        <f t="shared" si="51"/>
        <v>1.5576917279730278</v>
      </c>
      <c r="AX45" s="289">
        <f t="shared" si="51"/>
        <v>1.3499727057507849</v>
      </c>
      <c r="AY45" s="290">
        <f t="shared" si="51"/>
        <v>0.8999334517350227</v>
      </c>
    </row>
    <row r="46" spans="2:52" s="40" customFormat="1" ht="19.5" customHeight="1">
      <c r="B46" s="313" t="s">
        <v>23</v>
      </c>
      <c r="C46" s="287">
        <f t="shared" ref="C46:AL46" si="52">IF(C$49&gt;0,C19/(C$49*(12/C$50)/365),0)</f>
        <v>0</v>
      </c>
      <c r="D46" s="288">
        <f t="shared" si="52"/>
        <v>0</v>
      </c>
      <c r="E46" s="288">
        <f t="shared" si="52"/>
        <v>0</v>
      </c>
      <c r="F46" s="290">
        <f t="shared" si="52"/>
        <v>0</v>
      </c>
      <c r="G46" s="288">
        <f t="shared" si="52"/>
        <v>0</v>
      </c>
      <c r="H46" s="288">
        <f t="shared" si="52"/>
        <v>0</v>
      </c>
      <c r="I46" s="288">
        <f t="shared" si="52"/>
        <v>0</v>
      </c>
      <c r="J46" s="288">
        <f t="shared" si="52"/>
        <v>0</v>
      </c>
      <c r="K46" s="288">
        <f t="shared" si="52"/>
        <v>0</v>
      </c>
      <c r="L46" s="288">
        <f t="shared" si="52"/>
        <v>0</v>
      </c>
      <c r="M46" s="288">
        <f t="shared" si="52"/>
        <v>0</v>
      </c>
      <c r="N46" s="289">
        <f t="shared" si="52"/>
        <v>0</v>
      </c>
      <c r="O46" s="287">
        <f t="shared" ref="O46:Z46" si="53">IF(O$49&gt;0,O19/(O$49*(12/O$50)/365),0)</f>
        <v>0</v>
      </c>
      <c r="P46" s="288">
        <f t="shared" si="53"/>
        <v>0</v>
      </c>
      <c r="Q46" s="288">
        <f t="shared" si="53"/>
        <v>0</v>
      </c>
      <c r="R46" s="288">
        <f t="shared" si="53"/>
        <v>0</v>
      </c>
      <c r="S46" s="288">
        <f t="shared" si="53"/>
        <v>0</v>
      </c>
      <c r="T46" s="288">
        <f t="shared" si="53"/>
        <v>0</v>
      </c>
      <c r="U46" s="288">
        <f t="shared" si="53"/>
        <v>0</v>
      </c>
      <c r="V46" s="288">
        <f t="shared" si="53"/>
        <v>0</v>
      </c>
      <c r="W46" s="288">
        <f t="shared" si="53"/>
        <v>0</v>
      </c>
      <c r="X46" s="288">
        <f t="shared" si="53"/>
        <v>0</v>
      </c>
      <c r="Y46" s="288">
        <f t="shared" si="53"/>
        <v>0</v>
      </c>
      <c r="Z46" s="289">
        <f t="shared" si="53"/>
        <v>0</v>
      </c>
      <c r="AA46" s="287">
        <f t="shared" si="52"/>
        <v>0</v>
      </c>
      <c r="AB46" s="288">
        <f t="shared" si="52"/>
        <v>0</v>
      </c>
      <c r="AC46" s="288">
        <f t="shared" si="52"/>
        <v>0</v>
      </c>
      <c r="AD46" s="288">
        <f t="shared" si="52"/>
        <v>0</v>
      </c>
      <c r="AE46" s="288">
        <f t="shared" si="52"/>
        <v>0</v>
      </c>
      <c r="AF46" s="288">
        <f t="shared" si="52"/>
        <v>0</v>
      </c>
      <c r="AG46" s="288">
        <f t="shared" si="52"/>
        <v>0</v>
      </c>
      <c r="AH46" s="288">
        <f t="shared" si="52"/>
        <v>0</v>
      </c>
      <c r="AI46" s="288">
        <f t="shared" si="52"/>
        <v>0</v>
      </c>
      <c r="AJ46" s="288">
        <f t="shared" si="52"/>
        <v>0</v>
      </c>
      <c r="AK46" s="288">
        <f t="shared" si="52"/>
        <v>0</v>
      </c>
      <c r="AL46" s="289">
        <f t="shared" si="52"/>
        <v>0</v>
      </c>
      <c r="AM46" s="287">
        <f t="shared" ref="AM46:AY46" si="54">IF(AM$49&gt;0,AM19/(AM$49*(12/AM$50)/365),0)</f>
        <v>0</v>
      </c>
      <c r="AN46" s="288">
        <f t="shared" si="54"/>
        <v>0</v>
      </c>
      <c r="AO46" s="288">
        <f t="shared" si="54"/>
        <v>0</v>
      </c>
      <c r="AP46" s="288">
        <f t="shared" si="54"/>
        <v>0</v>
      </c>
      <c r="AQ46" s="288">
        <f t="shared" si="54"/>
        <v>0</v>
      </c>
      <c r="AR46" s="288">
        <f t="shared" si="54"/>
        <v>0</v>
      </c>
      <c r="AS46" s="288">
        <f t="shared" si="54"/>
        <v>0</v>
      </c>
      <c r="AT46" s="288">
        <f t="shared" si="54"/>
        <v>0</v>
      </c>
      <c r="AU46" s="288">
        <f t="shared" si="54"/>
        <v>0</v>
      </c>
      <c r="AV46" s="288">
        <f t="shared" si="54"/>
        <v>0</v>
      </c>
      <c r="AW46" s="288">
        <f t="shared" si="54"/>
        <v>0</v>
      </c>
      <c r="AX46" s="289">
        <f t="shared" si="54"/>
        <v>0</v>
      </c>
      <c r="AY46" s="290">
        <f t="shared" si="54"/>
        <v>0</v>
      </c>
    </row>
    <row r="47" spans="2:52" s="40" customFormat="1" ht="19.5" customHeight="1" thickBot="1">
      <c r="B47" s="314" t="s">
        <v>22</v>
      </c>
      <c r="C47" s="287">
        <f t="shared" ref="C47:AL47" si="55">IF(C$49&gt;0,C20/(C$49*(12/C$50)/365),0)</f>
        <v>21.542607210843506</v>
      </c>
      <c r="D47" s="288">
        <f t="shared" si="55"/>
        <v>21.953414149235996</v>
      </c>
      <c r="E47" s="288">
        <f t="shared" si="55"/>
        <v>20.743699616215643</v>
      </c>
      <c r="F47" s="290">
        <f t="shared" si="55"/>
        <v>18.753650670828023</v>
      </c>
      <c r="G47" s="288">
        <f t="shared" si="55"/>
        <v>0</v>
      </c>
      <c r="H47" s="288">
        <f t="shared" si="55"/>
        <v>0</v>
      </c>
      <c r="I47" s="288">
        <f t="shared" si="55"/>
        <v>0</v>
      </c>
      <c r="J47" s="288">
        <f t="shared" si="55"/>
        <v>0</v>
      </c>
      <c r="K47" s="288">
        <f t="shared" si="55"/>
        <v>0</v>
      </c>
      <c r="L47" s="288">
        <f t="shared" si="55"/>
        <v>0</v>
      </c>
      <c r="M47" s="288">
        <f t="shared" si="55"/>
        <v>0</v>
      </c>
      <c r="N47" s="289">
        <f t="shared" si="55"/>
        <v>0</v>
      </c>
      <c r="O47" s="287">
        <f t="shared" ref="O47:Z47" si="56">IF(O$49&gt;0,O20/(O$49*(12/O$50)/365),0)</f>
        <v>21.542607210843506</v>
      </c>
      <c r="P47" s="288">
        <f t="shared" si="56"/>
        <v>21.953414149235996</v>
      </c>
      <c r="Q47" s="288">
        <f t="shared" si="56"/>
        <v>20.743699616215643</v>
      </c>
      <c r="R47" s="288">
        <f t="shared" si="56"/>
        <v>18.584099282491071</v>
      </c>
      <c r="S47" s="288">
        <f t="shared" si="56"/>
        <v>18.958421576979145</v>
      </c>
      <c r="T47" s="288">
        <f t="shared" si="56"/>
        <v>18.136240556120612</v>
      </c>
      <c r="U47" s="288">
        <f t="shared" si="56"/>
        <v>19.419290964801643</v>
      </c>
      <c r="V47" s="288">
        <f t="shared" si="56"/>
        <v>18.490295589042944</v>
      </c>
      <c r="W47" s="288">
        <f t="shared" si="56"/>
        <v>18.298191605774274</v>
      </c>
      <c r="X47" s="288">
        <f t="shared" si="56"/>
        <v>16.018368987355398</v>
      </c>
      <c r="Y47" s="288">
        <f t="shared" si="56"/>
        <v>15.879908823168099</v>
      </c>
      <c r="Z47" s="289">
        <f t="shared" si="56"/>
        <v>20.189225677845524</v>
      </c>
      <c r="AA47" s="287">
        <f t="shared" si="55"/>
        <v>25.872186241489882</v>
      </c>
      <c r="AB47" s="288">
        <f t="shared" si="55"/>
        <v>22.150296473901896</v>
      </c>
      <c r="AC47" s="288">
        <f t="shared" si="55"/>
        <v>19.218022265618899</v>
      </c>
      <c r="AD47" s="288">
        <f t="shared" si="55"/>
        <v>16.282565862010365</v>
      </c>
      <c r="AE47" s="288">
        <f t="shared" si="55"/>
        <v>16.557510514925198</v>
      </c>
      <c r="AF47" s="288">
        <f t="shared" si="55"/>
        <v>16.538563809885719</v>
      </c>
      <c r="AG47" s="288">
        <f t="shared" si="55"/>
        <v>18.161039684373268</v>
      </c>
      <c r="AH47" s="288">
        <f t="shared" si="55"/>
        <v>17.749467617825339</v>
      </c>
      <c r="AI47" s="288">
        <f t="shared" si="55"/>
        <v>17.037646607140211</v>
      </c>
      <c r="AJ47" s="288">
        <f t="shared" si="55"/>
        <v>15.5846896312946</v>
      </c>
      <c r="AK47" s="288">
        <f t="shared" si="55"/>
        <v>15.176319223904452</v>
      </c>
      <c r="AL47" s="289">
        <f t="shared" si="55"/>
        <v>20.215889031746844</v>
      </c>
      <c r="AM47" s="287">
        <f t="shared" ref="AM47:AY47" si="57">IF(AM$49&gt;0,AM20/(AM$49*(12/AM$50)/365),0)</f>
        <v>-7.4209452261217645E-3</v>
      </c>
      <c r="AN47" s="288">
        <f t="shared" si="57"/>
        <v>27.718705160154602</v>
      </c>
      <c r="AO47" s="288">
        <f t="shared" si="57"/>
        <v>25.263804940592728</v>
      </c>
      <c r="AP47" s="288">
        <f t="shared" si="57"/>
        <v>23.456429663822622</v>
      </c>
      <c r="AQ47" s="288">
        <f t="shared" si="57"/>
        <v>25.854761781814609</v>
      </c>
      <c r="AR47" s="288">
        <f t="shared" si="57"/>
        <v>26.611550237051262</v>
      </c>
      <c r="AS47" s="288">
        <f t="shared" si="57"/>
        <v>28.30575602634422</v>
      </c>
      <c r="AT47" s="288">
        <f t="shared" si="57"/>
        <v>25.004838100804928</v>
      </c>
      <c r="AU47" s="288">
        <f t="shared" si="57"/>
        <v>21.669139218218287</v>
      </c>
      <c r="AV47" s="288">
        <f t="shared" si="57"/>
        <v>18.974264552169654</v>
      </c>
      <c r="AW47" s="288">
        <f t="shared" si="57"/>
        <v>19.220021905117978</v>
      </c>
      <c r="AX47" s="289">
        <f t="shared" si="57"/>
        <v>23.510116655566971</v>
      </c>
      <c r="AY47" s="290">
        <f t="shared" si="57"/>
        <v>24.185066280682971</v>
      </c>
    </row>
    <row r="48" spans="2:52" s="264" customFormat="1" ht="25.5" customHeight="1" thickBot="1">
      <c r="B48" s="315" t="s">
        <v>21</v>
      </c>
      <c r="C48" s="291">
        <f t="shared" ref="C48:AL48" si="58">IF(C$49&gt;0,C21/(C$49*(12/C$50)/365),0)</f>
        <v>32.647486707809364</v>
      </c>
      <c r="D48" s="292">
        <f t="shared" si="58"/>
        <v>31.438920820059295</v>
      </c>
      <c r="E48" s="292">
        <f t="shared" si="58"/>
        <v>28.423297082339488</v>
      </c>
      <c r="F48" s="294">
        <f t="shared" si="58"/>
        <v>25.547856361405572</v>
      </c>
      <c r="G48" s="292">
        <f t="shared" si="58"/>
        <v>0</v>
      </c>
      <c r="H48" s="292">
        <f t="shared" si="58"/>
        <v>0</v>
      </c>
      <c r="I48" s="292">
        <f t="shared" si="58"/>
        <v>0</v>
      </c>
      <c r="J48" s="292">
        <f t="shared" si="58"/>
        <v>0</v>
      </c>
      <c r="K48" s="292">
        <f t="shared" si="58"/>
        <v>0</v>
      </c>
      <c r="L48" s="292">
        <f t="shared" si="58"/>
        <v>0</v>
      </c>
      <c r="M48" s="292">
        <f t="shared" si="58"/>
        <v>0</v>
      </c>
      <c r="N48" s="293">
        <f t="shared" si="58"/>
        <v>0</v>
      </c>
      <c r="O48" s="291">
        <f t="shared" ref="O48:Z48" si="59">IF(O$49&gt;0,O21/(O$49*(12/O$50)/365),0)</f>
        <v>32.647486707809364</v>
      </c>
      <c r="P48" s="292">
        <f t="shared" si="59"/>
        <v>31.438920820059295</v>
      </c>
      <c r="Q48" s="292">
        <f t="shared" si="59"/>
        <v>28.423297082339488</v>
      </c>
      <c r="R48" s="292">
        <f t="shared" si="59"/>
        <v>26.601017249196818</v>
      </c>
      <c r="S48" s="292">
        <f t="shared" si="59"/>
        <v>26.917996172798929</v>
      </c>
      <c r="T48" s="292">
        <f t="shared" si="59"/>
        <v>25.575512620034853</v>
      </c>
      <c r="U48" s="292">
        <f t="shared" si="59"/>
        <v>27.395929448587545</v>
      </c>
      <c r="V48" s="292">
        <f t="shared" si="59"/>
        <v>25.546292650791926</v>
      </c>
      <c r="W48" s="292">
        <f t="shared" si="59"/>
        <v>24.785474531814092</v>
      </c>
      <c r="X48" s="292">
        <f t="shared" si="59"/>
        <v>22.191118410652649</v>
      </c>
      <c r="Y48" s="292">
        <f t="shared" si="59"/>
        <v>21.74282035774625</v>
      </c>
      <c r="Z48" s="293">
        <f t="shared" si="59"/>
        <v>27.636389883521055</v>
      </c>
      <c r="AA48" s="291">
        <f t="shared" si="58"/>
        <v>39.261047378462159</v>
      </c>
      <c r="AB48" s="292">
        <f t="shared" si="58"/>
        <v>33.587849886127749</v>
      </c>
      <c r="AC48" s="292">
        <f t="shared" si="58"/>
        <v>29.205695024137235</v>
      </c>
      <c r="AD48" s="292">
        <f t="shared" si="58"/>
        <v>24.763116342915403</v>
      </c>
      <c r="AE48" s="292">
        <f t="shared" si="58"/>
        <v>25.148363698110682</v>
      </c>
      <c r="AF48" s="292">
        <f t="shared" si="58"/>
        <v>25.164457472267355</v>
      </c>
      <c r="AG48" s="292">
        <f t="shared" si="58"/>
        <v>28.196058418924672</v>
      </c>
      <c r="AH48" s="292">
        <f t="shared" si="58"/>
        <v>27.028366560934838</v>
      </c>
      <c r="AI48" s="292">
        <f t="shared" si="58"/>
        <v>25.6933195422979</v>
      </c>
      <c r="AJ48" s="292">
        <f t="shared" si="58"/>
        <v>24.128645798358679</v>
      </c>
      <c r="AK48" s="292">
        <f t="shared" si="58"/>
        <v>23.729545286427935</v>
      </c>
      <c r="AL48" s="293">
        <f t="shared" si="58"/>
        <v>30.544050604197242</v>
      </c>
      <c r="AM48" s="291">
        <f t="shared" ref="AM48:AY48" si="60">IF(AM$49&gt;0,AM21/(AM$49*(12/AM$50)/365),0)</f>
        <v>-7.4209452261217645E-3</v>
      </c>
      <c r="AN48" s="292">
        <f t="shared" si="60"/>
        <v>41.930045049980755</v>
      </c>
      <c r="AO48" s="292">
        <f t="shared" si="60"/>
        <v>37.388485858605144</v>
      </c>
      <c r="AP48" s="292">
        <f t="shared" si="60"/>
        <v>35.385450972225904</v>
      </c>
      <c r="AQ48" s="292">
        <f t="shared" si="60"/>
        <v>39.234019167060254</v>
      </c>
      <c r="AR48" s="292">
        <f t="shared" si="60"/>
        <v>40.461454577376884</v>
      </c>
      <c r="AS48" s="292">
        <f t="shared" si="60"/>
        <v>44.416949508869685</v>
      </c>
      <c r="AT48" s="292">
        <f t="shared" si="60"/>
        <v>38.329918457940273</v>
      </c>
      <c r="AU48" s="292">
        <f t="shared" si="60"/>
        <v>34.120138431398885</v>
      </c>
      <c r="AV48" s="292">
        <f t="shared" si="60"/>
        <v>30.377788740794053</v>
      </c>
      <c r="AW48" s="292">
        <f t="shared" si="60"/>
        <v>29.859007079852653</v>
      </c>
      <c r="AX48" s="293">
        <f t="shared" si="60"/>
        <v>34.041789376988817</v>
      </c>
      <c r="AY48" s="294">
        <f t="shared" si="60"/>
        <v>36.082379886978835</v>
      </c>
    </row>
    <row r="49" spans="2:51" s="40" customFormat="1" ht="19.5" customHeight="1">
      <c r="B49" s="316" t="s">
        <v>20</v>
      </c>
      <c r="C49" s="265">
        <f t="shared" ref="C49:AL49" si="61">C104</f>
        <v>14430.590999999999</v>
      </c>
      <c r="D49" s="269">
        <f t="shared" si="61"/>
        <v>31259.763449999995</v>
      </c>
      <c r="E49" s="269">
        <f t="shared" si="61"/>
        <v>50955.568500000001</v>
      </c>
      <c r="F49" s="268">
        <f t="shared" si="61"/>
        <v>53824.10089999999</v>
      </c>
      <c r="G49" s="269">
        <f t="shared" si="61"/>
        <v>-31259.763449999995</v>
      </c>
      <c r="H49" s="269">
        <f t="shared" si="61"/>
        <v>-50955.568500000001</v>
      </c>
      <c r="I49" s="269">
        <f t="shared" si="61"/>
        <v>-68254.691899999991</v>
      </c>
      <c r="J49" s="269">
        <f t="shared" si="61"/>
        <v>0</v>
      </c>
      <c r="K49" s="269">
        <f t="shared" si="61"/>
        <v>0</v>
      </c>
      <c r="L49" s="269">
        <f t="shared" si="61"/>
        <v>0</v>
      </c>
      <c r="M49" s="269">
        <f t="shared" si="61"/>
        <v>0</v>
      </c>
      <c r="N49" s="270">
        <f t="shared" si="61"/>
        <v>0</v>
      </c>
      <c r="O49" s="265">
        <f t="shared" ref="O49:Z49" si="62">O104</f>
        <v>14430.590999999999</v>
      </c>
      <c r="P49" s="269">
        <f t="shared" si="62"/>
        <v>31259.763449999995</v>
      </c>
      <c r="Q49" s="269">
        <f t="shared" si="62"/>
        <v>50955.568500000001</v>
      </c>
      <c r="R49" s="269">
        <f t="shared" si="62"/>
        <v>54495.348999999987</v>
      </c>
      <c r="S49" s="269">
        <f t="shared" si="62"/>
        <v>54117.329049999986</v>
      </c>
      <c r="T49" s="269">
        <f t="shared" si="62"/>
        <v>54952.324499999995</v>
      </c>
      <c r="U49" s="269">
        <f t="shared" si="62"/>
        <v>54349.897000000012</v>
      </c>
      <c r="V49" s="269">
        <f t="shared" si="62"/>
        <v>54853.584350000005</v>
      </c>
      <c r="W49" s="269">
        <f t="shared" si="62"/>
        <v>53921.348349999971</v>
      </c>
      <c r="X49" s="269">
        <f t="shared" si="62"/>
        <v>55995.419349999982</v>
      </c>
      <c r="Y49" s="269">
        <f t="shared" si="62"/>
        <v>53187.085999999981</v>
      </c>
      <c r="Z49" s="270">
        <f t="shared" si="62"/>
        <v>41663.559300000023</v>
      </c>
      <c r="AA49" s="265">
        <f t="shared" si="61"/>
        <v>12660.286749999999</v>
      </c>
      <c r="AB49" s="269">
        <f t="shared" si="61"/>
        <v>29835.436699999998</v>
      </c>
      <c r="AC49" s="269">
        <f t="shared" si="61"/>
        <v>50007.031249999993</v>
      </c>
      <c r="AD49" s="269">
        <f t="shared" si="61"/>
        <v>58360.669200000004</v>
      </c>
      <c r="AE49" s="269">
        <f t="shared" si="61"/>
        <v>58310.043899999997</v>
      </c>
      <c r="AF49" s="269">
        <f t="shared" si="61"/>
        <v>56935.973300000005</v>
      </c>
      <c r="AG49" s="269">
        <f t="shared" si="61"/>
        <v>54685.963799999998</v>
      </c>
      <c r="AH49" s="269">
        <f t="shared" si="61"/>
        <v>53454.15165</v>
      </c>
      <c r="AI49" s="269">
        <f t="shared" si="61"/>
        <v>54223.049699999989</v>
      </c>
      <c r="AJ49" s="269">
        <f t="shared" si="61"/>
        <v>53334.734499999962</v>
      </c>
      <c r="AK49" s="269">
        <f t="shared" si="61"/>
        <v>51681.244949999993</v>
      </c>
      <c r="AL49" s="270">
        <f t="shared" si="61"/>
        <v>39963.119850000017</v>
      </c>
      <c r="AM49" s="265">
        <f t="shared" ref="AM49:AY49" si="63">AM104</f>
        <v>16444.221450000001</v>
      </c>
      <c r="AN49" s="269">
        <f t="shared" si="63"/>
        <v>34330.650999999998</v>
      </c>
      <c r="AO49" s="269">
        <f t="shared" si="63"/>
        <v>53194.2045</v>
      </c>
      <c r="AP49" s="269">
        <f>AP104</f>
        <v>70378.079499999993</v>
      </c>
      <c r="AQ49" s="269">
        <f t="shared" si="63"/>
        <v>48508.007399999988</v>
      </c>
      <c r="AR49" s="269">
        <f t="shared" si="63"/>
        <v>46071.764599999988</v>
      </c>
      <c r="AS49" s="269">
        <f t="shared" si="63"/>
        <v>44713.580099999992</v>
      </c>
      <c r="AT49" s="269">
        <f t="shared" si="63"/>
        <v>47753.257799999992</v>
      </c>
      <c r="AU49" s="269">
        <f t="shared" si="63"/>
        <v>47876.425099999993</v>
      </c>
      <c r="AV49" s="269">
        <f t="shared" si="63"/>
        <v>49348.417050000018</v>
      </c>
      <c r="AW49" s="269">
        <f t="shared" si="63"/>
        <v>47116.637350000005</v>
      </c>
      <c r="AX49" s="270">
        <f t="shared" si="63"/>
        <v>38964.801400000026</v>
      </c>
      <c r="AY49" s="268">
        <f t="shared" si="63"/>
        <v>39562.639250000007</v>
      </c>
    </row>
    <row r="50" spans="2:51" s="40" customFormat="1" ht="19.5" customHeight="1" thickBot="1">
      <c r="B50" s="315" t="s">
        <v>19</v>
      </c>
      <c r="C50" s="295">
        <v>1</v>
      </c>
      <c r="D50" s="296">
        <v>2</v>
      </c>
      <c r="E50" s="296">
        <v>3</v>
      </c>
      <c r="F50" s="298">
        <v>3</v>
      </c>
      <c r="G50" s="296">
        <v>3</v>
      </c>
      <c r="H50" s="296">
        <v>3</v>
      </c>
      <c r="I50" s="296">
        <v>3</v>
      </c>
      <c r="J50" s="296">
        <v>3</v>
      </c>
      <c r="K50" s="296">
        <v>3</v>
      </c>
      <c r="L50" s="296">
        <v>3</v>
      </c>
      <c r="M50" s="296">
        <v>3</v>
      </c>
      <c r="N50" s="297">
        <v>3</v>
      </c>
      <c r="O50" s="295">
        <v>1</v>
      </c>
      <c r="P50" s="296">
        <v>2</v>
      </c>
      <c r="Q50" s="296">
        <v>3</v>
      </c>
      <c r="R50" s="296">
        <v>3</v>
      </c>
      <c r="S50" s="296">
        <v>3</v>
      </c>
      <c r="T50" s="296">
        <v>3</v>
      </c>
      <c r="U50" s="296">
        <v>3</v>
      </c>
      <c r="V50" s="296">
        <v>3</v>
      </c>
      <c r="W50" s="296">
        <v>3</v>
      </c>
      <c r="X50" s="296">
        <v>3</v>
      </c>
      <c r="Y50" s="296">
        <v>3</v>
      </c>
      <c r="Z50" s="297">
        <v>3</v>
      </c>
      <c r="AA50" s="295">
        <v>1</v>
      </c>
      <c r="AB50" s="296">
        <v>2</v>
      </c>
      <c r="AC50" s="296">
        <v>3</v>
      </c>
      <c r="AD50" s="296">
        <v>3</v>
      </c>
      <c r="AE50" s="296">
        <v>3</v>
      </c>
      <c r="AF50" s="296">
        <v>3</v>
      </c>
      <c r="AG50" s="296">
        <v>3</v>
      </c>
      <c r="AH50" s="296">
        <v>3</v>
      </c>
      <c r="AI50" s="296">
        <v>3</v>
      </c>
      <c r="AJ50" s="296">
        <v>3</v>
      </c>
      <c r="AK50" s="296">
        <v>3</v>
      </c>
      <c r="AL50" s="297">
        <v>3</v>
      </c>
      <c r="AM50" s="295">
        <v>1</v>
      </c>
      <c r="AN50" s="296">
        <v>2</v>
      </c>
      <c r="AO50" s="296">
        <v>3</v>
      </c>
      <c r="AP50" s="296">
        <v>4</v>
      </c>
      <c r="AQ50" s="296">
        <v>3</v>
      </c>
      <c r="AR50" s="296">
        <v>3</v>
      </c>
      <c r="AS50" s="296">
        <v>3</v>
      </c>
      <c r="AT50" s="296">
        <v>3</v>
      </c>
      <c r="AU50" s="296">
        <v>3</v>
      </c>
      <c r="AV50" s="296">
        <v>3</v>
      </c>
      <c r="AW50" s="296">
        <v>3</v>
      </c>
      <c r="AX50" s="297">
        <v>3</v>
      </c>
      <c r="AY50" s="298">
        <v>3</v>
      </c>
    </row>
    <row r="51" spans="2:51" s="40" customFormat="1" ht="15.75"/>
    <row r="52" spans="2:51" s="40" customFormat="1" ht="15.75"/>
    <row r="53" spans="2:51" s="40" customFormat="1" ht="15.75"/>
    <row r="54" spans="2:51" s="40" customFormat="1" ht="15.75"/>
    <row r="55" spans="2:51" s="40" customFormat="1" ht="15.75"/>
    <row r="56" spans="2:51" s="40" customFormat="1" ht="15.75"/>
    <row r="57" spans="2:51" s="40" customFormat="1" ht="15.75"/>
    <row r="58" spans="2:51" s="40" customFormat="1" ht="15.75"/>
    <row r="59" spans="2:51" s="40" customFormat="1" ht="15.75"/>
    <row r="60" spans="2:51" s="40" customFormat="1" ht="15.75"/>
    <row r="61" spans="2:51" s="40" customFormat="1" ht="15.75"/>
    <row r="62" spans="2:51" s="40" customFormat="1" ht="15.75"/>
    <row r="63" spans="2:51" s="40" customFormat="1" ht="15.75"/>
    <row r="64" spans="2:51" s="40" customFormat="1" ht="15.75"/>
    <row r="65" spans="1:76" s="40" customFormat="1" ht="15.75"/>
    <row r="66" spans="1:76" s="40" customFormat="1" ht="15.75"/>
    <row r="67" spans="1:76" s="40" customFormat="1" ht="15.75"/>
    <row r="68" spans="1:76" s="40" customFormat="1" ht="15.75"/>
    <row r="69" spans="1:76" s="40" customFormat="1" ht="15.75"/>
    <row r="70" spans="1:76" s="40" customFormat="1" ht="15.75"/>
    <row r="71" spans="1:76" s="40" customFormat="1" ht="15.75"/>
    <row r="72" spans="1:76" s="40" customFormat="1" ht="15.75"/>
    <row r="73" spans="1:76" s="40" customFormat="1" ht="15.75"/>
    <row r="74" spans="1:76" s="40" customFormat="1" ht="15.75"/>
    <row r="75" spans="1:76" s="40" customFormat="1" ht="15.75"/>
    <row r="76" spans="1:76" s="40" customFormat="1" ht="15.75"/>
    <row r="77" spans="1:76" s="40" customFormat="1" ht="15.75"/>
    <row r="78" spans="1:76" s="40" customFormat="1" ht="15.75" hidden="1" outlineLevel="1"/>
    <row r="79" spans="1:76" s="40" customFormat="1" ht="15.75" hidden="1" outlineLevel="1">
      <c r="A79" s="45" t="str">
        <f>_xll.IdPrj.AnalyzerFuncs.AnalyzerOLAPMember("[Account].[Reporting Hierarchy].&amp;[55]","","A300L - Elim Inter-co +/- on cons (inventories)","","-524283.-524283.55","[Account].[Reporting Hierarchy]","000","D0")</f>
        <v>A300L - Elim Inter-co +/- on cons (inventories)</v>
      </c>
      <c r="B79" s="42" t="str">
        <f>_xll.IdPrj.AnalyzerFuncs.AnalyzerOLAPMember("[Destination].&amp;[0]","","No Destination","","2.2.0","[Destination]","000","D1")</f>
        <v>No Destination</v>
      </c>
      <c r="C79" s="41">
        <v>7.2759576141834261E-15</v>
      </c>
      <c r="D79" s="41">
        <v>0</v>
      </c>
      <c r="E79" s="41">
        <v>2.9103830456733704E-14</v>
      </c>
      <c r="F79" s="41">
        <v>1.0913936421275139E-14</v>
      </c>
      <c r="G79" s="41"/>
      <c r="H79" s="41"/>
      <c r="I79" s="41"/>
      <c r="J79" s="41"/>
      <c r="K79" s="41"/>
      <c r="L79" s="41"/>
      <c r="M79" s="41"/>
      <c r="N79" s="41"/>
      <c r="O79" s="41">
        <v>-3.637978807091713E-15</v>
      </c>
      <c r="P79" s="41">
        <v>0</v>
      </c>
      <c r="Q79" s="41">
        <v>1.0913936421275139E-14</v>
      </c>
      <c r="R79" s="41">
        <v>1.3642420526593923E-14</v>
      </c>
      <c r="S79" s="41">
        <v>3.4106051316484808E-14</v>
      </c>
      <c r="T79" s="41">
        <v>2.7284841053187848E-15</v>
      </c>
      <c r="U79" s="41">
        <v>9.0949470177292826E-16</v>
      </c>
      <c r="V79" s="41">
        <v>7.2759576141834261E-15</v>
      </c>
      <c r="W79" s="41">
        <v>1.9099388737231494E-14</v>
      </c>
      <c r="X79" s="41">
        <v>1.0913936421275139E-14</v>
      </c>
      <c r="Y79" s="41">
        <v>7.2759576141834261E-15</v>
      </c>
      <c r="Z79" s="41">
        <v>1.6370904631912707E-14</v>
      </c>
      <c r="AA79" s="41">
        <v>1.2732925824820996E-14</v>
      </c>
      <c r="AB79" s="41">
        <v>4.5474735088646413E-15</v>
      </c>
      <c r="AC79" s="41">
        <v>1.7280399333685636E-14</v>
      </c>
      <c r="AD79" s="41">
        <v>2.1145751816220581E-14</v>
      </c>
      <c r="AE79" s="41">
        <v>4.5474735088646413E-15</v>
      </c>
      <c r="AF79" s="41">
        <v>3.637978807091713E-15</v>
      </c>
      <c r="AG79" s="41">
        <v>1.8189894035458565E-15</v>
      </c>
      <c r="AH79" s="41">
        <v>3.637978807091713E-15</v>
      </c>
      <c r="AI79" s="41">
        <v>9.3223206931725148E-15</v>
      </c>
      <c r="AJ79" s="41">
        <v>-1.8189894035458565E-15</v>
      </c>
      <c r="AK79" s="41">
        <v>2.000888343900442E-14</v>
      </c>
      <c r="AL79" s="41">
        <v>1.8189894035458565E-14</v>
      </c>
      <c r="AM79" s="41">
        <v>7.8440000000000021</v>
      </c>
      <c r="AN79" s="41">
        <v>-18.480196799999998</v>
      </c>
      <c r="AO79" s="41">
        <v>-22.812248200000006</v>
      </c>
      <c r="AP79" s="41">
        <v>-22.189999999999994</v>
      </c>
      <c r="AQ79" s="41">
        <v>-20.09</v>
      </c>
      <c r="AR79" s="41">
        <v>-21.77</v>
      </c>
      <c r="AS79" s="41">
        <v>-22.190000000000012</v>
      </c>
      <c r="AT79" s="41">
        <v>-23.03</v>
      </c>
      <c r="AU79" s="41">
        <v>-21.350000000000005</v>
      </c>
      <c r="AV79" s="41">
        <v>-22.629500000000011</v>
      </c>
      <c r="AW79" s="41">
        <v>-17.229999999999986</v>
      </c>
      <c r="AX79" s="41">
        <v>-17.176109999999969</v>
      </c>
      <c r="AY79" s="41">
        <v>-20.090000000000007</v>
      </c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</row>
    <row r="80" spans="1:76" s="40" customFormat="1" ht="15.75" hidden="1" outlineLevel="1">
      <c r="A80" s="45" t="str">
        <f>_xll.IdPrj.AnalyzerFuncs.AnalyzerOLAPMember("[Account].[Reporting Hierarchy].&amp;[56]","","A310000 - Inventory Raw material and Supplies","","-524283.-524283.56","[Account].[Reporting Hierarchy]","000","D0")</f>
        <v>A310000 - Inventory Raw material and Supplies</v>
      </c>
      <c r="B80" s="42" t="str">
        <f>_xll.IdPrj.AnalyzerFuncs.AnalyzerOLAPMember("[Destination].&amp;[0]","","No Destination","","2.2.0","[Destination]","000","D1")</f>
        <v>No Destination</v>
      </c>
      <c r="C80" s="41">
        <v>5443.8994000000002</v>
      </c>
      <c r="D80" s="41">
        <v>4240.6540800000002</v>
      </c>
      <c r="E80" s="41">
        <v>3441.2585800000002</v>
      </c>
      <c r="F80" s="41">
        <v>2965.2830400000003</v>
      </c>
      <c r="G80" s="41"/>
      <c r="H80" s="41"/>
      <c r="I80" s="41"/>
      <c r="J80" s="41"/>
      <c r="K80" s="41"/>
      <c r="L80" s="41"/>
      <c r="M80" s="41"/>
      <c r="N80" s="41"/>
      <c r="O80" s="41">
        <v>5443.8994000000002</v>
      </c>
      <c r="P80" s="41">
        <v>4240.6540800000002</v>
      </c>
      <c r="Q80" s="41">
        <v>3441.2585800000002</v>
      </c>
      <c r="R80" s="41">
        <v>4017.87</v>
      </c>
      <c r="S80" s="41">
        <v>3945.08</v>
      </c>
      <c r="T80" s="41">
        <v>3712.84</v>
      </c>
      <c r="U80" s="41">
        <v>3980.52</v>
      </c>
      <c r="V80" s="41">
        <v>3477.06</v>
      </c>
      <c r="W80" s="41">
        <v>3067.95</v>
      </c>
      <c r="X80" s="41">
        <v>3026.03</v>
      </c>
      <c r="Y80" s="41">
        <v>2659.1</v>
      </c>
      <c r="Z80" s="41">
        <v>2643.43</v>
      </c>
      <c r="AA80" s="41">
        <v>5610.9930000000004</v>
      </c>
      <c r="AB80" s="41">
        <v>5644.4030000000002</v>
      </c>
      <c r="AC80" s="41">
        <v>5518.9030000000002</v>
      </c>
      <c r="AD80" s="41">
        <v>5472.973</v>
      </c>
      <c r="AE80" s="41">
        <v>5533.183</v>
      </c>
      <c r="AF80" s="41">
        <v>5433.9430000000002</v>
      </c>
      <c r="AG80" s="41">
        <v>5867.6229999999996</v>
      </c>
      <c r="AH80" s="41">
        <v>5295.1629999999996</v>
      </c>
      <c r="AI80" s="41">
        <v>5002.0529999999999</v>
      </c>
      <c r="AJ80" s="41">
        <v>4856.1329999999998</v>
      </c>
      <c r="AK80" s="41">
        <v>4710.2030000000004</v>
      </c>
      <c r="AL80" s="41">
        <v>4690.5330000000004</v>
      </c>
      <c r="AM80" s="41"/>
      <c r="AN80" s="41">
        <v>7577.9549999999999</v>
      </c>
      <c r="AO80" s="41">
        <v>6822.6130000000003</v>
      </c>
      <c r="AP80" s="41">
        <v>6749.8360000000002</v>
      </c>
      <c r="AQ80" s="41">
        <v>6748.598</v>
      </c>
      <c r="AR80" s="41">
        <v>6453.442</v>
      </c>
      <c r="AS80" s="41">
        <v>7337.2610000000004</v>
      </c>
      <c r="AT80" s="41">
        <v>6566.57</v>
      </c>
      <c r="AU80" s="41">
        <v>6200.6090000000004</v>
      </c>
      <c r="AV80" s="41">
        <v>5987.1639999999998</v>
      </c>
      <c r="AW80" s="41">
        <v>5466.0209999999997</v>
      </c>
      <c r="AX80" s="41">
        <v>4718.2987000000003</v>
      </c>
      <c r="AY80" s="41">
        <v>5504.2629999999999</v>
      </c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</row>
    <row r="81" spans="1:76" s="40" customFormat="1" ht="15.75" hidden="1" outlineLevel="1">
      <c r="A81" s="45" t="str">
        <f>_xll.IdPrj.AnalyzerFuncs.AnalyzerOLAPMember("[Account].[Reporting Hierarchy].&amp;[937]","","A322000 - Inventory Other supplies","","-524283.-524283.937","[Account].[Reporting Hierarchy]","000","D0")</f>
        <v>A322000 - Inventory Other supplies</v>
      </c>
      <c r="B81" s="42" t="str">
        <f>_xll.IdPrj.AnalyzerFuncs.AnalyzerOLAPMember("[Destination].&amp;[0]","","No Destination","","2.2.0","[Destination]","000","D1")</f>
        <v>No Destination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</row>
    <row r="82" spans="1:76" s="40" customFormat="1" ht="15.75" hidden="1" outlineLevel="1">
      <c r="A82" s="45" t="str">
        <f>_xll.IdPrj.AnalyzerFuncs.AnalyzerOLAPMember("[Account].[Reporting Hierarchy].&amp;[58]","","A331000 - Inventory Products  in Progress","","-524283.-524283.58","[Account].[Reporting Hierarchy]","000","D0")</f>
        <v>A331000 - Inventory Products  in Progress</v>
      </c>
      <c r="B82" s="42" t="str">
        <f>_xll.IdPrj.AnalyzerFuncs.AnalyzerOLAPMember("[Destination].&amp;[0]","","No Destination","","2.2.0","[Destination]","000","D1")</f>
        <v>No Destination</v>
      </c>
      <c r="C82" s="41">
        <v>658.7319</v>
      </c>
      <c r="D82" s="41">
        <v>1411.75208</v>
      </c>
      <c r="E82" s="41">
        <v>1352.17265</v>
      </c>
      <c r="F82" s="41">
        <v>1519.0706599999999</v>
      </c>
      <c r="G82" s="41"/>
      <c r="H82" s="41"/>
      <c r="I82" s="41"/>
      <c r="J82" s="41"/>
      <c r="K82" s="41"/>
      <c r="L82" s="41"/>
      <c r="M82" s="41"/>
      <c r="N82" s="41"/>
      <c r="O82" s="41">
        <v>658.7319</v>
      </c>
      <c r="P82" s="41">
        <v>1411.75208</v>
      </c>
      <c r="Q82" s="41">
        <v>1352.17265</v>
      </c>
      <c r="R82" s="41">
        <v>1274.92</v>
      </c>
      <c r="S82" s="41">
        <v>1280.49</v>
      </c>
      <c r="T82" s="41">
        <v>1272.23</v>
      </c>
      <c r="U82" s="41">
        <v>1275.5</v>
      </c>
      <c r="V82" s="41">
        <v>1269.56</v>
      </c>
      <c r="W82" s="41">
        <v>1270.52</v>
      </c>
      <c r="X82" s="41">
        <v>1266.8800000000001</v>
      </c>
      <c r="Y82" s="41">
        <v>1263.24</v>
      </c>
      <c r="Z82" s="41">
        <v>1261.8599999999999</v>
      </c>
      <c r="AA82" s="41">
        <v>761.99599999999998</v>
      </c>
      <c r="AB82" s="41">
        <v>765.25599999999997</v>
      </c>
      <c r="AC82" s="41">
        <v>754.726</v>
      </c>
      <c r="AD82" s="41">
        <v>751.08600000000001</v>
      </c>
      <c r="AE82" s="41">
        <v>756.65599999999995</v>
      </c>
      <c r="AF82" s="41">
        <v>748.39599999999996</v>
      </c>
      <c r="AG82" s="41">
        <v>751.66600000000005</v>
      </c>
      <c r="AH82" s="41">
        <v>745.726</v>
      </c>
      <c r="AI82" s="41">
        <v>746.68600000000004</v>
      </c>
      <c r="AJ82" s="41">
        <v>743.04600000000005</v>
      </c>
      <c r="AK82" s="41">
        <v>739.40599999999995</v>
      </c>
      <c r="AL82" s="41">
        <v>438.02600000000001</v>
      </c>
      <c r="AM82" s="41"/>
      <c r="AN82" s="41">
        <v>1463.0060000000001</v>
      </c>
      <c r="AO82" s="41">
        <v>1294.3430000000001</v>
      </c>
      <c r="AP82" s="41">
        <v>1216.921</v>
      </c>
      <c r="AQ82" s="41">
        <v>1391.145</v>
      </c>
      <c r="AR82" s="41">
        <v>1342.9680000000001</v>
      </c>
      <c r="AS82" s="41">
        <v>1475.74251</v>
      </c>
      <c r="AT82" s="41">
        <v>1271.1980000000001</v>
      </c>
      <c r="AU82" s="41">
        <v>1216.3430000000001</v>
      </c>
      <c r="AV82" s="41">
        <v>1031.171</v>
      </c>
      <c r="AW82" s="41">
        <v>867.95399999999995</v>
      </c>
      <c r="AX82" s="41">
        <v>637.60490000000004</v>
      </c>
      <c r="AY82" s="41">
        <v>454.13600000000002</v>
      </c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</row>
    <row r="83" spans="1:76" s="40" customFormat="1" ht="15.75" hidden="1" outlineLevel="1">
      <c r="A83" s="45" t="str">
        <f>_xll.IdPrj.AnalyzerFuncs.AnalyzerOLAPMember("[Account].[Reporting Hierarchy].&amp;[938]","","A345000 - Inventory WIP at customer's offices","","-524283.-524283.938","[Account].[Reporting Hierarchy]","000","D0")</f>
        <v>A345000 - Inventory WIP at customer's offices</v>
      </c>
      <c r="B83" s="42" t="str">
        <f>_xll.IdPrj.AnalyzerFuncs.AnalyzerOLAPMember("[Destination].&amp;[0]","","No Destination","","2.2.0","[Destination]","000","D1")</f>
        <v>No Destination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</row>
    <row r="84" spans="1:76" s="40" customFormat="1" ht="15.75" hidden="1" outlineLevel="1">
      <c r="A84" s="45" t="str">
        <f>_xll.IdPrj.AnalyzerFuncs.AnalyzerOLAPMember("[Account].[Reporting Hierarchy].&amp;[60]","","A355000 - Inventory Finished and semi finished  Goods","","-524283.-524283.60","[Account].[Reporting Hierarchy]","000","D0")</f>
        <v>A355000 - Inventory Finished and semi finished  Goods</v>
      </c>
      <c r="B84" s="42" t="str">
        <f>_xll.IdPrj.AnalyzerFuncs.AnalyzerOLAPMember("[Destination].&amp;[0]","","No Destination","","2.2.0","[Destination]","000","D1")</f>
        <v>No Destination</v>
      </c>
      <c r="C84" s="41">
        <v>13527.84052</v>
      </c>
      <c r="D84" s="41">
        <v>14523.64969</v>
      </c>
      <c r="E84" s="41">
        <v>14876.24641</v>
      </c>
      <c r="F84" s="41">
        <v>14327.698060000001</v>
      </c>
      <c r="G84" s="41"/>
      <c r="H84" s="41"/>
      <c r="I84" s="41"/>
      <c r="J84" s="41"/>
      <c r="K84" s="41"/>
      <c r="L84" s="41"/>
      <c r="M84" s="41"/>
      <c r="N84" s="41"/>
      <c r="O84" s="41">
        <v>13527.84052</v>
      </c>
      <c r="P84" s="41">
        <v>14523.64969</v>
      </c>
      <c r="Q84" s="41">
        <v>14876.24641</v>
      </c>
      <c r="R84" s="41">
        <v>14421.775</v>
      </c>
      <c r="S84" s="41">
        <v>14600.125</v>
      </c>
      <c r="T84" s="41">
        <v>14311.815000000001</v>
      </c>
      <c r="U84" s="41">
        <v>14972.965</v>
      </c>
      <c r="V84" s="41">
        <v>14538.385</v>
      </c>
      <c r="W84" s="41">
        <v>14252.645</v>
      </c>
      <c r="X84" s="41">
        <v>13286.225</v>
      </c>
      <c r="Y84" s="41">
        <v>12729.215</v>
      </c>
      <c r="Z84" s="41">
        <v>12708.075000000001</v>
      </c>
      <c r="AA84" s="41">
        <v>14567.663</v>
      </c>
      <c r="AB84" s="41">
        <v>14698.772999999999</v>
      </c>
      <c r="AC84" s="41">
        <v>14403.503000000001</v>
      </c>
      <c r="AD84" s="41">
        <v>14321.763000000001</v>
      </c>
      <c r="AE84" s="41">
        <v>14524.763000000001</v>
      </c>
      <c r="AF84" s="41">
        <v>14299.953</v>
      </c>
      <c r="AG84" s="41">
        <v>14815.102999999999</v>
      </c>
      <c r="AH84" s="41">
        <v>14345.522999999999</v>
      </c>
      <c r="AI84" s="41">
        <v>14088.782999999999</v>
      </c>
      <c r="AJ84" s="41">
        <v>13090.362999999999</v>
      </c>
      <c r="AK84" s="41">
        <v>12593.352999999999</v>
      </c>
      <c r="AL84" s="41">
        <v>12868.213</v>
      </c>
      <c r="AM84" s="41">
        <v>-4.0119999999999987</v>
      </c>
      <c r="AN84" s="41">
        <v>18538.912126400002</v>
      </c>
      <c r="AO84" s="41">
        <v>17740.786796799999</v>
      </c>
      <c r="AP84" s="41">
        <v>16626.899000000001</v>
      </c>
      <c r="AQ84" s="41">
        <v>17034.183789999999</v>
      </c>
      <c r="AR84" s="41">
        <v>16999.853609999998</v>
      </c>
      <c r="AS84" s="41">
        <v>17665.287499999999</v>
      </c>
      <c r="AT84" s="41">
        <v>16894.38522</v>
      </c>
      <c r="AU84" s="41">
        <v>15207.478570000001</v>
      </c>
      <c r="AV84" s="41">
        <v>14034.55999</v>
      </c>
      <c r="AW84" s="41">
        <v>13640.02809</v>
      </c>
      <c r="AX84" s="41">
        <v>13579.61802</v>
      </c>
      <c r="AY84" s="41">
        <v>14166.733</v>
      </c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</row>
    <row r="85" spans="1:76" s="40" customFormat="1" ht="15.75" hidden="1" outlineLevel="1">
      <c r="A85" s="45" t="str">
        <f>_xll.IdPrj.AnalyzerFuncs.AnalyzerOLAPMember("[Account].[Reporting Hierarchy].&amp;[61]","","A370000 - Inventory Goods for resale","","-524283.-524283.61","[Account].[Reporting Hierarchy]","000","D0")</f>
        <v>A370000 - Inventory Goods for resale</v>
      </c>
      <c r="B85" s="42" t="str">
        <f>_xll.IdPrj.AnalyzerFuncs.AnalyzerOLAPMember("[Destination].&amp;[0]","","No Destination","","2.2.0","[Destination]","000","D1")</f>
        <v>No Destination</v>
      </c>
      <c r="C85" s="41">
        <v>172.77099999999999</v>
      </c>
      <c r="D85" s="41">
        <v>174.29650000000001</v>
      </c>
      <c r="E85" s="41">
        <v>169.26702</v>
      </c>
      <c r="F85" s="41">
        <v>174.11205999999999</v>
      </c>
      <c r="G85" s="41"/>
      <c r="H85" s="41"/>
      <c r="I85" s="41"/>
      <c r="J85" s="41"/>
      <c r="K85" s="41"/>
      <c r="L85" s="41"/>
      <c r="M85" s="41"/>
      <c r="N85" s="41"/>
      <c r="O85" s="41">
        <v>172.77099999999999</v>
      </c>
      <c r="P85" s="41">
        <v>174.29650000000001</v>
      </c>
      <c r="Q85" s="41">
        <v>169.26702000000003</v>
      </c>
      <c r="R85" s="41">
        <v>172.03700000000001</v>
      </c>
      <c r="S85" s="41">
        <v>172.03700000000001</v>
      </c>
      <c r="T85" s="41">
        <v>172.03700000000001</v>
      </c>
      <c r="U85" s="41">
        <v>172.03700000000001</v>
      </c>
      <c r="V85" s="41">
        <v>172.03700000000001</v>
      </c>
      <c r="W85" s="41">
        <v>172.03700000000001</v>
      </c>
      <c r="X85" s="41">
        <v>172.03700000000001</v>
      </c>
      <c r="Y85" s="41">
        <v>172.03700000000001</v>
      </c>
      <c r="Z85" s="41">
        <v>172.03700000000001</v>
      </c>
      <c r="AA85" s="41">
        <v>209.15700000000001</v>
      </c>
      <c r="AB85" s="41">
        <v>209.15700000000001</v>
      </c>
      <c r="AC85" s="41">
        <v>209.15700000000001</v>
      </c>
      <c r="AD85" s="41">
        <v>209.15700000000001</v>
      </c>
      <c r="AE85" s="41">
        <v>209.15700000000001</v>
      </c>
      <c r="AF85" s="41">
        <v>209.15700000000001</v>
      </c>
      <c r="AG85" s="41">
        <v>209.15700000000001</v>
      </c>
      <c r="AH85" s="41">
        <v>209.15700000000001</v>
      </c>
      <c r="AI85" s="41">
        <v>209.15700000000001</v>
      </c>
      <c r="AJ85" s="41">
        <v>209.15700000000001</v>
      </c>
      <c r="AK85" s="41">
        <v>209.15700000000001</v>
      </c>
      <c r="AL85" s="41">
        <v>209.15700000000001</v>
      </c>
      <c r="AM85" s="41">
        <v>0</v>
      </c>
      <c r="AN85" s="41">
        <v>307.343211</v>
      </c>
      <c r="AO85" s="41">
        <v>258.29199999999997</v>
      </c>
      <c r="AP85" s="41">
        <v>260.42</v>
      </c>
      <c r="AQ85" s="41">
        <v>258.48599999999999</v>
      </c>
      <c r="AR85" s="41">
        <v>258.48</v>
      </c>
      <c r="AS85" s="41">
        <v>257.23099999999999</v>
      </c>
      <c r="AT85" s="41">
        <v>285.54700000000003</v>
      </c>
      <c r="AU85" s="41">
        <v>272.39699999999999</v>
      </c>
      <c r="AV85" s="41">
        <v>296.00700000000001</v>
      </c>
      <c r="AW85" s="41">
        <v>296.00700000000001</v>
      </c>
      <c r="AX85" s="41">
        <v>158.73568</v>
      </c>
      <c r="AY85" s="41">
        <v>290.75700000000001</v>
      </c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</row>
    <row r="86" spans="1:76" s="40" customFormat="1" ht="15.75" hidden="1" outlineLevel="1">
      <c r="A86" s="45" t="str">
        <f>_xll.IdPrj.AnalyzerFuncs.AnalyzerOLAPMember("[Account].[Reporting Hierarchy].&amp;[939]","","A380100 - Inventory in transit/ Raw mat.&amp;Suppl","","-524283.-524283.939","[Account].[Reporting Hierarchy]","000","D0")</f>
        <v>A380100 - Inventory in transit/ Raw mat.&amp;Suppl</v>
      </c>
      <c r="B86" s="42" t="str">
        <f>_xll.IdPrj.AnalyzerFuncs.AnalyzerOLAPMember("[Destination].&amp;[0]","","No Destination","","2.2.0","[Destination]","000","D1")</f>
        <v>No Destination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</row>
    <row r="87" spans="1:76" s="40" customFormat="1" ht="15.75" hidden="1" outlineLevel="1">
      <c r="A87" s="45" t="str">
        <f>_xll.IdPrj.AnalyzerFuncs.AnalyzerOLAPMember("[Account].[Reporting Hierarchy].&amp;[940]","","A380200 - Inventory in transit/ Goods for resale","","-524283.-524283.940","[Account].[Reporting Hierarchy]","000","D0")</f>
        <v>A380200 - Inventory in transit/ Goods for resale</v>
      </c>
      <c r="B87" s="42" t="str">
        <f>_xll.IdPrj.AnalyzerFuncs.AnalyzerOLAPMember("[Destination].&amp;[0]","","No Destination","","2.2.0","[Destination]","000","D1")</f>
        <v>No Destination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</row>
    <row r="88" spans="1:76" s="40" customFormat="1" ht="15.75" hidden="1" outlineLevel="1">
      <c r="A88" s="44" t="str">
        <f>_xll.IdPrj.AnalyzerFuncs.AnalyzerOLAPMember("[Account].[Reporting Hierarchy].&amp;[936]","","BS2010 - BS_Gross Inventory","","-524283.-524283.936","[Account].[Reporting Hierarchy]","000","D0")</f>
        <v>BS2010 - BS_Gross Inventory</v>
      </c>
      <c r="B88" s="42" t="str">
        <f>_xll.IdPrj.AnalyzerFuncs.AnalyzerOLAPMember("[Destination].&amp;[0]","","No Destination","","2.2.0","[Destination]","000","D1")</f>
        <v>No Destination</v>
      </c>
      <c r="C88" s="41">
        <v>19803.242819999999</v>
      </c>
      <c r="D88" s="41">
        <v>20350.352350000001</v>
      </c>
      <c r="E88" s="41">
        <v>19838.944660000001</v>
      </c>
      <c r="F88" s="41">
        <v>18986.163820000002</v>
      </c>
      <c r="G88" s="41"/>
      <c r="H88" s="41"/>
      <c r="I88" s="41"/>
      <c r="J88" s="41"/>
      <c r="K88" s="41"/>
      <c r="L88" s="41"/>
      <c r="M88" s="41"/>
      <c r="N88" s="41"/>
      <c r="O88" s="41">
        <v>19803.242819999999</v>
      </c>
      <c r="P88" s="41">
        <v>20350.352350000001</v>
      </c>
      <c r="Q88" s="41">
        <v>19838.944660000001</v>
      </c>
      <c r="R88" s="41">
        <v>19886.601999999999</v>
      </c>
      <c r="S88" s="41">
        <v>19997.732</v>
      </c>
      <c r="T88" s="41">
        <v>19468.921999999999</v>
      </c>
      <c r="U88" s="41">
        <v>20401.022000000001</v>
      </c>
      <c r="V88" s="41">
        <v>19457.042000000001</v>
      </c>
      <c r="W88" s="41">
        <v>18763.151999999998</v>
      </c>
      <c r="X88" s="41">
        <v>17751.171999999999</v>
      </c>
      <c r="Y88" s="41">
        <v>16823.592000000001</v>
      </c>
      <c r="Z88" s="41">
        <v>16785.401999999998</v>
      </c>
      <c r="AA88" s="41">
        <v>21149.809000000001</v>
      </c>
      <c r="AB88" s="41">
        <v>21317.589</v>
      </c>
      <c r="AC88" s="41">
        <v>20886.289000000001</v>
      </c>
      <c r="AD88" s="41">
        <v>20754.978999999999</v>
      </c>
      <c r="AE88" s="41">
        <v>21023.758999999998</v>
      </c>
      <c r="AF88" s="41">
        <v>20691.449000000001</v>
      </c>
      <c r="AG88" s="41">
        <v>21643.548999999999</v>
      </c>
      <c r="AH88" s="41">
        <v>20595.569</v>
      </c>
      <c r="AI88" s="41">
        <v>20046.679</v>
      </c>
      <c r="AJ88" s="41">
        <v>18898.699000000001</v>
      </c>
      <c r="AK88" s="41">
        <v>18252.118999999999</v>
      </c>
      <c r="AL88" s="41">
        <v>18205.929</v>
      </c>
      <c r="AM88" s="41">
        <v>-4.0119999999999969</v>
      </c>
      <c r="AN88" s="41">
        <v>27887.216337400001</v>
      </c>
      <c r="AO88" s="41">
        <v>26116.034796799999</v>
      </c>
      <c r="AP88" s="41">
        <v>24854.076000000001</v>
      </c>
      <c r="AQ88" s="41">
        <v>25432.412789999998</v>
      </c>
      <c r="AR88" s="41">
        <v>25054.743609999998</v>
      </c>
      <c r="AS88" s="41">
        <v>26735.522010000001</v>
      </c>
      <c r="AT88" s="41">
        <v>25017.700219999999</v>
      </c>
      <c r="AU88" s="41">
        <v>22896.827570000001</v>
      </c>
      <c r="AV88" s="41">
        <v>21348.901989999998</v>
      </c>
      <c r="AW88" s="41">
        <v>20270.01009</v>
      </c>
      <c r="AX88" s="41">
        <v>19094.257300000001</v>
      </c>
      <c r="AY88" s="41">
        <v>20415.888999999999</v>
      </c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</row>
    <row r="89" spans="1:76" s="40" customFormat="1" ht="15.75" hidden="1" outlineLevel="1">
      <c r="A89" s="45" t="str">
        <f>_xll.IdPrj.AnalyzerFuncs.AnalyzerOLAPMember("[Account].[Reporting Hierarchy].&amp;[62]","","A391000 - Prov. Inventory Raw material and Supplies","","-524283.-524283.62","[Account].[Reporting Hierarchy]","000","D0")</f>
        <v>A391000 - Prov. Inventory Raw material and Supplies</v>
      </c>
      <c r="B89" s="42" t="str">
        <f>_xll.IdPrj.AnalyzerFuncs.AnalyzerOLAPMember("[Destination].&amp;[0]","","No Destination","","2.2.0","[Destination]","000","D1")</f>
        <v>No Destination</v>
      </c>
      <c r="C89" s="41">
        <v>-774</v>
      </c>
      <c r="D89" s="41">
        <v>-502.322</v>
      </c>
      <c r="E89" s="41">
        <v>-248.55099999999999</v>
      </c>
      <c r="F89" s="41">
        <v>-221.601</v>
      </c>
      <c r="G89" s="41"/>
      <c r="H89" s="41"/>
      <c r="I89" s="41"/>
      <c r="J89" s="41"/>
      <c r="K89" s="41"/>
      <c r="L89" s="41"/>
      <c r="M89" s="41"/>
      <c r="N89" s="41"/>
      <c r="O89" s="41">
        <v>-774</v>
      </c>
      <c r="P89" s="41">
        <v>-502.322</v>
      </c>
      <c r="Q89" s="41">
        <v>-248.55099999999999</v>
      </c>
      <c r="R89" s="41">
        <v>-248.55099999999999</v>
      </c>
      <c r="S89" s="41">
        <v>-248.55099999999999</v>
      </c>
      <c r="T89" s="41">
        <v>-248.55099999999999</v>
      </c>
      <c r="U89" s="41">
        <v>-248.55099999999999</v>
      </c>
      <c r="V89" s="41">
        <v>-248.55099999999999</v>
      </c>
      <c r="W89" s="41">
        <v>-248.55099999999999</v>
      </c>
      <c r="X89" s="41">
        <v>-248.55099999999999</v>
      </c>
      <c r="Y89" s="41">
        <v>-248.55099999999999</v>
      </c>
      <c r="Z89" s="41">
        <v>-248.55099999999999</v>
      </c>
      <c r="AA89" s="41">
        <v>-736.20399999999995</v>
      </c>
      <c r="AB89" s="41">
        <v>-736.20399999999995</v>
      </c>
      <c r="AC89" s="41">
        <v>-736.20399999999995</v>
      </c>
      <c r="AD89" s="41">
        <v>-736.20399999999995</v>
      </c>
      <c r="AE89" s="41">
        <v>-736.20399999999995</v>
      </c>
      <c r="AF89" s="41">
        <v>-736.20399999999995</v>
      </c>
      <c r="AG89" s="41">
        <v>-541.36199999999997</v>
      </c>
      <c r="AH89" s="41">
        <v>-541.36199999999997</v>
      </c>
      <c r="AI89" s="41">
        <v>-541.36199999999997</v>
      </c>
      <c r="AJ89" s="41">
        <v>-541.36199999999997</v>
      </c>
      <c r="AK89" s="41">
        <v>-541.36199999999997</v>
      </c>
      <c r="AL89" s="41">
        <v>-541.36199999999997</v>
      </c>
      <c r="AM89" s="41"/>
      <c r="AN89" s="41">
        <v>-924.80700000000002</v>
      </c>
      <c r="AO89" s="41">
        <v>-955.26800000000003</v>
      </c>
      <c r="AP89" s="41">
        <v>-963.83699999999999</v>
      </c>
      <c r="AQ89" s="41">
        <v>-908.053</v>
      </c>
      <c r="AR89" s="41">
        <v>-684.404</v>
      </c>
      <c r="AS89" s="41">
        <v>-772.20399999999995</v>
      </c>
      <c r="AT89" s="41">
        <v>-733.35900000000004</v>
      </c>
      <c r="AU89" s="41">
        <v>-746.49800000000005</v>
      </c>
      <c r="AV89" s="41">
        <v>-745.42399999999998</v>
      </c>
      <c r="AW89" s="41">
        <v>-776.92499999999995</v>
      </c>
      <c r="AX89" s="41">
        <v>-797.60699999999997</v>
      </c>
      <c r="AY89" s="41">
        <v>-736.20399999999995</v>
      </c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</row>
    <row r="90" spans="1:76" s="40" customFormat="1" ht="15.75" hidden="1" outlineLevel="1">
      <c r="A90" s="45" t="str">
        <f>_xll.IdPrj.AnalyzerFuncs.AnalyzerOLAPMember("[Account].[Reporting Hierarchy].&amp;[942]","","A392100 - Prov. Inventory Other supplies","","-524283.-524283.942","[Account].[Reporting Hierarchy]","000","D0")</f>
        <v>A392100 - Prov. Inventory Other supplies</v>
      </c>
      <c r="B90" s="42" t="str">
        <f>_xll.IdPrj.AnalyzerFuncs.AnalyzerOLAPMember("[Destination].&amp;[0]","","No Destination","","2.2.0","[Destination]","000","D1")</f>
        <v>No Destination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</row>
    <row r="91" spans="1:76" s="40" customFormat="1" ht="15.75" hidden="1" outlineLevel="1">
      <c r="A91" s="45" t="str">
        <f>_xll.IdPrj.AnalyzerFuncs.AnalyzerOLAPMember("[Account].[Reporting Hierarchy].&amp;[64]","","A393000 - Prov. Inventory Products  in Progress","","-524283.-524283.64","[Account].[Reporting Hierarchy]","000","D0")</f>
        <v>A393000 - Prov. Inventory Products  in Progress</v>
      </c>
      <c r="B91" s="42" t="str">
        <f>_xll.IdPrj.AnalyzerFuncs.AnalyzerOLAPMember("[Destination].&amp;[0]","","No Destination","","2.2.0","[Destination]","000","D1")</f>
        <v>No Destination</v>
      </c>
      <c r="C91" s="41">
        <v>-60.139000000000003</v>
      </c>
      <c r="D91" s="41">
        <v>-275.87</v>
      </c>
      <c r="E91" s="41">
        <v>-256.46100000000001</v>
      </c>
      <c r="F91" s="41">
        <v>-255.16900000000001</v>
      </c>
      <c r="G91" s="41"/>
      <c r="H91" s="41"/>
      <c r="I91" s="41"/>
      <c r="J91" s="41"/>
      <c r="K91" s="41"/>
      <c r="L91" s="41"/>
      <c r="M91" s="41"/>
      <c r="N91" s="41"/>
      <c r="O91" s="41">
        <v>-60.139000000000003</v>
      </c>
      <c r="P91" s="41">
        <v>-275.87</v>
      </c>
      <c r="Q91" s="41">
        <v>-256.46100000000001</v>
      </c>
      <c r="R91" s="41">
        <v>-256.46100000000001</v>
      </c>
      <c r="S91" s="41">
        <v>-256.46100000000001</v>
      </c>
      <c r="T91" s="41">
        <v>-256.46100000000001</v>
      </c>
      <c r="U91" s="41">
        <v>-256.46100000000001</v>
      </c>
      <c r="V91" s="41">
        <v>-256.46100000000001</v>
      </c>
      <c r="W91" s="41">
        <v>-256.46100000000001</v>
      </c>
      <c r="X91" s="41">
        <v>-256.46100000000001</v>
      </c>
      <c r="Y91" s="41">
        <v>-256.46100000000001</v>
      </c>
      <c r="Z91" s="41">
        <v>-256.46100000000001</v>
      </c>
      <c r="AA91" s="41">
        <v>-63.957999999999998</v>
      </c>
      <c r="AB91" s="41">
        <v>-63.957999999999998</v>
      </c>
      <c r="AC91" s="41">
        <v>-63.957999999999998</v>
      </c>
      <c r="AD91" s="41">
        <v>-63.957999999999998</v>
      </c>
      <c r="AE91" s="41">
        <v>-63.957999999999998</v>
      </c>
      <c r="AF91" s="41">
        <v>-63.957999999999998</v>
      </c>
      <c r="AG91" s="41">
        <v>-63.957999999999998</v>
      </c>
      <c r="AH91" s="41">
        <v>-63.957999999999998</v>
      </c>
      <c r="AI91" s="41">
        <v>-63.957999999999998</v>
      </c>
      <c r="AJ91" s="41">
        <v>-63.957999999999998</v>
      </c>
      <c r="AK91" s="41">
        <v>-63.957999999999998</v>
      </c>
      <c r="AL91" s="41">
        <v>-63.957999999999998</v>
      </c>
      <c r="AM91" s="41"/>
      <c r="AN91" s="41">
        <v>-96.134</v>
      </c>
      <c r="AO91" s="41">
        <v>-93.602999999999994</v>
      </c>
      <c r="AP91" s="41">
        <v>-102.578</v>
      </c>
      <c r="AQ91" s="41">
        <v>-119.349</v>
      </c>
      <c r="AR91" s="41">
        <v>-119.244</v>
      </c>
      <c r="AS91" s="41">
        <v>-146.124</v>
      </c>
      <c r="AT91" s="41">
        <v>-131.083</v>
      </c>
      <c r="AU91" s="41">
        <v>-137.749</v>
      </c>
      <c r="AV91" s="41">
        <v>-105.833</v>
      </c>
      <c r="AW91" s="41">
        <v>-63.645000000000003</v>
      </c>
      <c r="AX91" s="41">
        <v>-61.151000000000003</v>
      </c>
      <c r="AY91" s="41">
        <v>-63.957999999999998</v>
      </c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</row>
    <row r="92" spans="1:76" s="40" customFormat="1" ht="15.75" hidden="1" outlineLevel="1">
      <c r="A92" s="45" t="str">
        <f>_xll.IdPrj.AnalyzerFuncs.AnalyzerOLAPMember("[Account].[Reporting Hierarchy].&amp;[943]","","A394500 - Prov. Inventory WIP at customer's offices","","-524283.-524283.943","[Account].[Reporting Hierarchy]","000","D0")</f>
        <v>A394500 - Prov. Inventory WIP at customer's offices</v>
      </c>
      <c r="B92" s="42" t="str">
        <f>_xll.IdPrj.AnalyzerFuncs.AnalyzerOLAPMember("[Destination].&amp;[0]","","No Destination","","2.2.0","[Destination]","000","D1")</f>
        <v>No Destination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</row>
    <row r="93" spans="1:76" s="40" customFormat="1" ht="15.75" hidden="1" outlineLevel="1">
      <c r="A93" s="45" t="str">
        <f>_xll.IdPrj.AnalyzerFuncs.AnalyzerOLAPMember("[Account].[Reporting Hierarchy].&amp;[66]","","A395500 - Prov. Inventory Finished and semi finished  Goods","","-524283.-524283.66","[Account].[Reporting Hierarchy]","000","D0")</f>
        <v>A395500 - Prov. Inventory Finished and semi finished  Goods</v>
      </c>
      <c r="B93" s="42" t="str">
        <f>_xll.IdPrj.AnalyzerFuncs.AnalyzerOLAPMember("[Destination].&amp;[0]","","No Destination","","2.2.0","[Destination]","000","D1")</f>
        <v>No Destination</v>
      </c>
      <c r="C93" s="41">
        <v>-3459.201</v>
      </c>
      <c r="D93" s="41">
        <v>-3396.0410000000002</v>
      </c>
      <c r="E93" s="41">
        <v>-3440.9319999999998</v>
      </c>
      <c r="F93" s="41">
        <v>-3418.9670000000001</v>
      </c>
      <c r="G93" s="41"/>
      <c r="H93" s="41"/>
      <c r="I93" s="41"/>
      <c r="J93" s="41"/>
      <c r="K93" s="41"/>
      <c r="L93" s="41"/>
      <c r="M93" s="41"/>
      <c r="N93" s="41"/>
      <c r="O93" s="41">
        <v>-3459.201</v>
      </c>
      <c r="P93" s="41">
        <v>-3396.0410000000002</v>
      </c>
      <c r="Q93" s="41">
        <v>-3440.9319999999998</v>
      </c>
      <c r="R93" s="41">
        <v>-3474.2719999999999</v>
      </c>
      <c r="S93" s="41">
        <v>-3507.6120000000001</v>
      </c>
      <c r="T93" s="41">
        <v>-3540.9520000000002</v>
      </c>
      <c r="U93" s="41">
        <v>-3557.6320000000001</v>
      </c>
      <c r="V93" s="41">
        <v>-3574.3119999999999</v>
      </c>
      <c r="W93" s="41">
        <v>-3590.9920000000002</v>
      </c>
      <c r="X93" s="41">
        <v>-3607.672</v>
      </c>
      <c r="Y93" s="41">
        <v>-3624.3519999999999</v>
      </c>
      <c r="Z93" s="41">
        <v>-3641.0320000000002</v>
      </c>
      <c r="AA93" s="41">
        <v>-3973.5819999999999</v>
      </c>
      <c r="AB93" s="41">
        <v>-4009.922</v>
      </c>
      <c r="AC93" s="41">
        <v>-4046.2620000000002</v>
      </c>
      <c r="AD93" s="41">
        <v>-4082.6019999999999</v>
      </c>
      <c r="AE93" s="41">
        <v>-4118.942</v>
      </c>
      <c r="AF93" s="41">
        <v>-4155.2820000000002</v>
      </c>
      <c r="AG93" s="41">
        <v>-4105.8869999999997</v>
      </c>
      <c r="AH93" s="41">
        <v>-4122.567</v>
      </c>
      <c r="AI93" s="41">
        <v>-4139.2470000000003</v>
      </c>
      <c r="AJ93" s="41">
        <v>-4155.9269999999997</v>
      </c>
      <c r="AK93" s="41">
        <v>-4172.607</v>
      </c>
      <c r="AL93" s="41">
        <v>-4189.2870000000003</v>
      </c>
      <c r="AM93" s="41"/>
      <c r="AN93" s="41">
        <v>-3169.002</v>
      </c>
      <c r="AO93" s="41">
        <v>-3237.0450000000001</v>
      </c>
      <c r="AP93" s="41">
        <v>-3284.4540000000002</v>
      </c>
      <c r="AQ93" s="41">
        <v>-3513.924</v>
      </c>
      <c r="AR93" s="41">
        <v>-3787.7730000000001</v>
      </c>
      <c r="AS93" s="41">
        <v>-4017.8690000000001</v>
      </c>
      <c r="AT93" s="41">
        <v>-4059.8220000000001</v>
      </c>
      <c r="AU93" s="41">
        <v>-4076.1660000000002</v>
      </c>
      <c r="AV93" s="41">
        <v>-4034.7040000000002</v>
      </c>
      <c r="AW93" s="41">
        <v>-3977.346</v>
      </c>
      <c r="AX93" s="41">
        <v>-3664.7689999999998</v>
      </c>
      <c r="AY93" s="41">
        <v>-3937.2420000000002</v>
      </c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</row>
    <row r="94" spans="1:76" s="40" customFormat="1" ht="15.75" hidden="1" outlineLevel="1">
      <c r="A94" s="45" t="str">
        <f>_xll.IdPrj.AnalyzerFuncs.AnalyzerOLAPMember("[Account].[Reporting Hierarchy].&amp;[67]","","A397000 - Prov. Inventory Goods for resale","","-524283.-524283.67","[Account].[Reporting Hierarchy]","000","D0")</f>
        <v>A397000 - Prov. Inventory Goods for resale</v>
      </c>
      <c r="B94" s="42" t="str">
        <f>_xll.IdPrj.AnalyzerFuncs.AnalyzerOLAPMember("[Destination].&amp;[0]","","No Destination","","2.2.0","[Destination]","000","D1")</f>
        <v>No Destination</v>
      </c>
      <c r="C94" s="41">
        <v>-20.943000000000001</v>
      </c>
      <c r="D94" s="41">
        <v>-20.943000000000001</v>
      </c>
      <c r="E94" s="41">
        <v>-20.943000000000001</v>
      </c>
      <c r="F94" s="41">
        <v>-20.943000000000001</v>
      </c>
      <c r="G94" s="41"/>
      <c r="H94" s="41"/>
      <c r="I94" s="41"/>
      <c r="J94" s="41"/>
      <c r="K94" s="41"/>
      <c r="L94" s="41"/>
      <c r="M94" s="41"/>
      <c r="N94" s="41"/>
      <c r="O94" s="41">
        <v>-20.943000000000001</v>
      </c>
      <c r="P94" s="41">
        <v>-20.943000000000001</v>
      </c>
      <c r="Q94" s="41">
        <v>-20.943000000000001</v>
      </c>
      <c r="R94" s="41">
        <v>-20.943000000000001</v>
      </c>
      <c r="S94" s="41">
        <v>-20.943000000000001</v>
      </c>
      <c r="T94" s="41">
        <v>-20.943000000000001</v>
      </c>
      <c r="U94" s="41">
        <v>-20.943000000000001</v>
      </c>
      <c r="V94" s="41">
        <v>-20.943000000000001</v>
      </c>
      <c r="W94" s="41">
        <v>-20.943000000000001</v>
      </c>
      <c r="X94" s="41">
        <v>-20.943000000000001</v>
      </c>
      <c r="Y94" s="41">
        <v>-20.943000000000001</v>
      </c>
      <c r="Z94" s="41">
        <v>-20.943000000000001</v>
      </c>
      <c r="AA94" s="41">
        <v>-34.494</v>
      </c>
      <c r="AB94" s="41">
        <v>-34.494</v>
      </c>
      <c r="AC94" s="41">
        <v>-34.494</v>
      </c>
      <c r="AD94" s="41">
        <v>-34.494</v>
      </c>
      <c r="AE94" s="41">
        <v>-34.494</v>
      </c>
      <c r="AF94" s="41">
        <v>-34.494</v>
      </c>
      <c r="AG94" s="41">
        <v>-34.494</v>
      </c>
      <c r="AH94" s="41">
        <v>-34.494</v>
      </c>
      <c r="AI94" s="41">
        <v>-34.494</v>
      </c>
      <c r="AJ94" s="41">
        <v>-34.494</v>
      </c>
      <c r="AK94" s="41">
        <v>-34.494</v>
      </c>
      <c r="AL94" s="41">
        <v>-34.494</v>
      </c>
      <c r="AM94" s="41"/>
      <c r="AN94" s="41">
        <v>-34.494</v>
      </c>
      <c r="AO94" s="41">
        <v>-34.494</v>
      </c>
      <c r="AP94" s="41">
        <v>-34.494</v>
      </c>
      <c r="AQ94" s="41">
        <v>-34.494</v>
      </c>
      <c r="AR94" s="41">
        <v>-34.494</v>
      </c>
      <c r="AS94" s="41">
        <v>-34.494</v>
      </c>
      <c r="AT94" s="41">
        <v>-34.494</v>
      </c>
      <c r="AU94" s="41">
        <v>-34.494</v>
      </c>
      <c r="AV94" s="41">
        <v>-34.494</v>
      </c>
      <c r="AW94" s="41">
        <v>-34.494</v>
      </c>
      <c r="AX94" s="41">
        <v>-34.494</v>
      </c>
      <c r="AY94" s="41">
        <v>-34.494</v>
      </c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</row>
    <row r="95" spans="1:76" s="40" customFormat="1" ht="15.75" hidden="1" outlineLevel="1">
      <c r="A95" s="44" t="str">
        <f>_xll.IdPrj.AnalyzerFuncs.AnalyzerOLAPMember("[Account].[Reporting Hierarchy].&amp;[941]","","BS2050 - BS_Prov. Inventory","","-524283.-524283.941","[Account].[Reporting Hierarchy]","000","D0")</f>
        <v>BS2050 - BS_Prov. Inventory</v>
      </c>
      <c r="B95" s="42" t="str">
        <f>_xll.IdPrj.AnalyzerFuncs.AnalyzerOLAPMember("[Destination].&amp;[0]","","No Destination","","2.2.0","[Destination]","000","D1")</f>
        <v>No Destination</v>
      </c>
      <c r="C95" s="41">
        <v>-4314.2830000000004</v>
      </c>
      <c r="D95" s="41">
        <v>-4195.1760000000004</v>
      </c>
      <c r="E95" s="41">
        <v>-3966.8870000000002</v>
      </c>
      <c r="F95" s="41">
        <v>-3916.68</v>
      </c>
      <c r="G95" s="41"/>
      <c r="H95" s="41"/>
      <c r="I95" s="41"/>
      <c r="J95" s="41"/>
      <c r="K95" s="41"/>
      <c r="L95" s="41"/>
      <c r="M95" s="41"/>
      <c r="N95" s="41"/>
      <c r="O95" s="41">
        <v>-4314.2830000000004</v>
      </c>
      <c r="P95" s="41">
        <v>-4195.1760000000004</v>
      </c>
      <c r="Q95" s="41">
        <v>-3966.8870000000002</v>
      </c>
      <c r="R95" s="41">
        <v>-4000.2269999999999</v>
      </c>
      <c r="S95" s="41">
        <v>-4033.567</v>
      </c>
      <c r="T95" s="41">
        <v>-4066.9070000000002</v>
      </c>
      <c r="U95" s="41">
        <v>-4083.587</v>
      </c>
      <c r="V95" s="41">
        <v>-4100.2669999999998</v>
      </c>
      <c r="W95" s="41">
        <v>-4116.9470000000001</v>
      </c>
      <c r="X95" s="41">
        <v>-4133.6270000000004</v>
      </c>
      <c r="Y95" s="41">
        <v>-4150.3069999999998</v>
      </c>
      <c r="Z95" s="41">
        <v>-4166.9870000000001</v>
      </c>
      <c r="AA95" s="41">
        <v>-4808.2380000000003</v>
      </c>
      <c r="AB95" s="41">
        <v>-4844.5780000000004</v>
      </c>
      <c r="AC95" s="41">
        <v>-4880.9179999999997</v>
      </c>
      <c r="AD95" s="41">
        <v>-4917.2579999999998</v>
      </c>
      <c r="AE95" s="41">
        <v>-4953.598</v>
      </c>
      <c r="AF95" s="41">
        <v>-4989.9380000000001</v>
      </c>
      <c r="AG95" s="41">
        <v>-4745.701</v>
      </c>
      <c r="AH95" s="41">
        <v>-4762.3810000000003</v>
      </c>
      <c r="AI95" s="41">
        <v>-4779.0609999999997</v>
      </c>
      <c r="AJ95" s="41">
        <v>-4795.741</v>
      </c>
      <c r="AK95" s="41">
        <v>-4812.4210000000003</v>
      </c>
      <c r="AL95" s="41">
        <v>-4829.1009999999997</v>
      </c>
      <c r="AM95" s="41"/>
      <c r="AN95" s="41">
        <v>-4224.4369999999999</v>
      </c>
      <c r="AO95" s="41">
        <v>-4320.41</v>
      </c>
      <c r="AP95" s="41">
        <v>-4385.3630000000003</v>
      </c>
      <c r="AQ95" s="41">
        <v>-4575.82</v>
      </c>
      <c r="AR95" s="41">
        <v>-4625.915</v>
      </c>
      <c r="AS95" s="41">
        <v>-4970.6909999999998</v>
      </c>
      <c r="AT95" s="41">
        <v>-4958.7579999999998</v>
      </c>
      <c r="AU95" s="41">
        <v>-4994.9070000000002</v>
      </c>
      <c r="AV95" s="41">
        <v>-4920.4549999999999</v>
      </c>
      <c r="AW95" s="41">
        <v>-4852.41</v>
      </c>
      <c r="AX95" s="41">
        <v>-4558.0209999999997</v>
      </c>
      <c r="AY95" s="41">
        <v>-4771.8980000000001</v>
      </c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</row>
    <row r="96" spans="1:76" s="40" customFormat="1" ht="15.75" hidden="1" outlineLevel="1">
      <c r="A96" s="43" t="str">
        <f>_xll.IdPrj.AnalyzerFuncs.AnalyzerOLAPMember("[Account].[Reporting Hierarchy].&amp;[935]","","BS2000 - BS_Net Inventory","","-524283.-524283.935","[Account].[Reporting Hierarchy]","000","D0")</f>
        <v>BS2000 - BS_Net Inventory</v>
      </c>
      <c r="B96" s="42" t="str">
        <f>_xll.IdPrj.AnalyzerFuncs.AnalyzerOLAPMember("[Destination].&amp;[0]","","No Destination","","2.2.0","[Destination]","000","D1")</f>
        <v>No Destination</v>
      </c>
      <c r="C96" s="41">
        <v>15488.95982</v>
      </c>
      <c r="D96" s="41">
        <v>16155.17635</v>
      </c>
      <c r="E96" s="41">
        <v>15872.05766</v>
      </c>
      <c r="F96" s="41">
        <v>15069.483819999999</v>
      </c>
      <c r="G96" s="41"/>
      <c r="H96" s="41"/>
      <c r="I96" s="41"/>
      <c r="J96" s="41"/>
      <c r="K96" s="41"/>
      <c r="L96" s="41"/>
      <c r="M96" s="41"/>
      <c r="N96" s="41"/>
      <c r="O96" s="41">
        <v>15488.95982</v>
      </c>
      <c r="P96" s="41">
        <v>16155.17635</v>
      </c>
      <c r="Q96" s="41">
        <v>15872.05766</v>
      </c>
      <c r="R96" s="41">
        <v>15886.375</v>
      </c>
      <c r="S96" s="41">
        <v>15964.165000000001</v>
      </c>
      <c r="T96" s="41">
        <v>15402.014999999999</v>
      </c>
      <c r="U96" s="41">
        <v>16317.434999999999</v>
      </c>
      <c r="V96" s="41">
        <v>15356.775</v>
      </c>
      <c r="W96" s="41">
        <v>14646.205</v>
      </c>
      <c r="X96" s="41">
        <v>13617.545</v>
      </c>
      <c r="Y96" s="41">
        <v>12673.285</v>
      </c>
      <c r="Z96" s="41">
        <v>12618.415000000001</v>
      </c>
      <c r="AA96" s="41">
        <v>16341.571</v>
      </c>
      <c r="AB96" s="41">
        <v>16473.010999999999</v>
      </c>
      <c r="AC96" s="41">
        <v>16005.370999999999</v>
      </c>
      <c r="AD96" s="41">
        <v>15837.721</v>
      </c>
      <c r="AE96" s="41">
        <v>16070.161</v>
      </c>
      <c r="AF96" s="41">
        <v>15701.511</v>
      </c>
      <c r="AG96" s="41">
        <v>16897.848000000002</v>
      </c>
      <c r="AH96" s="41">
        <v>15833.188</v>
      </c>
      <c r="AI96" s="41">
        <v>15267.618</v>
      </c>
      <c r="AJ96" s="41">
        <v>14102.958000000001</v>
      </c>
      <c r="AK96" s="41">
        <v>13439.698</v>
      </c>
      <c r="AL96" s="41">
        <v>13376.828</v>
      </c>
      <c r="AM96" s="41">
        <v>-4.0119999999999969</v>
      </c>
      <c r="AN96" s="41">
        <v>23662.779337399999</v>
      </c>
      <c r="AO96" s="41">
        <v>21795.624796799999</v>
      </c>
      <c r="AP96" s="41">
        <v>20468.713</v>
      </c>
      <c r="AQ96" s="41">
        <v>20856.592789999999</v>
      </c>
      <c r="AR96" s="41">
        <v>20428.82861</v>
      </c>
      <c r="AS96" s="41">
        <v>21764.831010000002</v>
      </c>
      <c r="AT96" s="41">
        <v>20058.942219999997</v>
      </c>
      <c r="AU96" s="41">
        <v>17901.920570000002</v>
      </c>
      <c r="AV96" s="41">
        <v>16428.44699</v>
      </c>
      <c r="AW96" s="41">
        <v>15417.60009</v>
      </c>
      <c r="AX96" s="41">
        <v>14536.2363</v>
      </c>
      <c r="AY96" s="41">
        <v>15643.991</v>
      </c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</row>
    <row r="97" spans="1:76" hidden="1" outlineLevel="1">
      <c r="A97" s="18"/>
      <c r="B97" s="18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1:76" hidden="1" outlineLevel="1">
      <c r="A98" s="18"/>
      <c r="B98" s="18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</row>
    <row r="99" spans="1:76" hidden="1" outlineLevel="1">
      <c r="A99" s="18" t="str">
        <f>_xll.IdPrj.AnalyzerFuncs.AnalyzerOLAPMember("[Account].[Reporting Hierarchy].&amp;[2252]","","R0000 - Net Result","","-524283.-524283.2252","[Account].[Reporting Hierarchy]","000","D0")</f>
        <v>R0000 - Net Result</v>
      </c>
      <c r="B99" s="22" t="str">
        <f>_xll.IdPrj.AnalyzerFuncs.AnalyzerOLAPMember("[Destination].&amp;[6]","","R03 - Total turnover","","2.2.6","[Destination]","000","D1")</f>
        <v>R03 - Total turnover</v>
      </c>
      <c r="C99" s="33">
        <v>12548.34</v>
      </c>
      <c r="D99" s="33">
        <v>27182.402999999998</v>
      </c>
      <c r="E99" s="33">
        <v>44309.19</v>
      </c>
      <c r="F99" s="33">
        <v>59351.906000000003</v>
      </c>
      <c r="G99" s="33"/>
      <c r="H99" s="33"/>
      <c r="I99" s="33"/>
      <c r="J99" s="33"/>
      <c r="K99" s="33"/>
      <c r="L99" s="33"/>
      <c r="M99" s="33"/>
      <c r="N99" s="33"/>
      <c r="O99" s="33">
        <v>12548.34</v>
      </c>
      <c r="P99" s="33">
        <v>27182.402999999998</v>
      </c>
      <c r="Q99" s="33">
        <v>44309.19</v>
      </c>
      <c r="R99" s="33">
        <v>59935.6</v>
      </c>
      <c r="S99" s="33">
        <v>74240.95</v>
      </c>
      <c r="T99" s="33">
        <v>92093.82</v>
      </c>
      <c r="U99" s="33">
        <v>107196.38</v>
      </c>
      <c r="V99" s="33">
        <v>121939.719</v>
      </c>
      <c r="W99" s="33">
        <v>138981.94899999999</v>
      </c>
      <c r="X99" s="33">
        <v>155888.049</v>
      </c>
      <c r="Y99" s="33">
        <v>168189.359</v>
      </c>
      <c r="Z99" s="33">
        <v>175211.13099999999</v>
      </c>
      <c r="AA99" s="33">
        <v>11008.945</v>
      </c>
      <c r="AB99" s="33">
        <v>25943.858</v>
      </c>
      <c r="AC99" s="33">
        <v>43484.375</v>
      </c>
      <c r="AD99" s="33">
        <v>61757.353000000003</v>
      </c>
      <c r="AE99" s="33">
        <v>76648.244000000006</v>
      </c>
      <c r="AF99" s="33">
        <v>92993.917000000001</v>
      </c>
      <c r="AG99" s="33">
        <v>109310.36500000001</v>
      </c>
      <c r="AH99" s="33">
        <v>123130.11500000001</v>
      </c>
      <c r="AI99" s="33">
        <v>140144.39499999999</v>
      </c>
      <c r="AJ99" s="33">
        <v>155688.39499999999</v>
      </c>
      <c r="AK99" s="33">
        <v>168070.32800000001</v>
      </c>
      <c r="AL99" s="33">
        <v>174894.93400000001</v>
      </c>
      <c r="AM99" s="33">
        <v>14299.323</v>
      </c>
      <c r="AN99" s="33">
        <v>29852.74</v>
      </c>
      <c r="AO99" s="33">
        <v>46255.83</v>
      </c>
      <c r="AP99" s="33">
        <v>61198.33</v>
      </c>
      <c r="AQ99" s="33">
        <v>72033.615999999995</v>
      </c>
      <c r="AR99" s="33">
        <v>86318.233999999997</v>
      </c>
      <c r="AS99" s="33">
        <v>100079.704</v>
      </c>
      <c r="AT99" s="33">
        <v>113558.18799999999</v>
      </c>
      <c r="AU99" s="33">
        <v>127949.908</v>
      </c>
      <c r="AV99" s="33">
        <v>142991.37100000001</v>
      </c>
      <c r="AW99" s="33">
        <v>154529.177</v>
      </c>
      <c r="AX99" s="33">
        <v>161832.34400000001</v>
      </c>
      <c r="AY99" s="33">
        <v>162352.20300000001</v>
      </c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</row>
    <row r="100" spans="1:76" s="30" customFormat="1" hidden="1" outlineLevel="1">
      <c r="A100" s="21"/>
      <c r="B100" s="24" t="s">
        <v>18</v>
      </c>
      <c r="C100" s="35">
        <f t="shared" ref="C100:AL100" si="64">C99</f>
        <v>12548.34</v>
      </c>
      <c r="D100" s="35">
        <f t="shared" si="64"/>
        <v>27182.402999999998</v>
      </c>
      <c r="E100" s="35">
        <f t="shared" si="64"/>
        <v>44309.19</v>
      </c>
      <c r="F100" s="35">
        <f t="shared" si="64"/>
        <v>59351.906000000003</v>
      </c>
      <c r="G100" s="35">
        <f t="shared" si="64"/>
        <v>0</v>
      </c>
      <c r="H100" s="35">
        <f t="shared" si="64"/>
        <v>0</v>
      </c>
      <c r="I100" s="35">
        <f t="shared" si="64"/>
        <v>0</v>
      </c>
      <c r="J100" s="35">
        <f t="shared" si="64"/>
        <v>0</v>
      </c>
      <c r="K100" s="35">
        <f t="shared" si="64"/>
        <v>0</v>
      </c>
      <c r="L100" s="35">
        <f t="shared" si="64"/>
        <v>0</v>
      </c>
      <c r="M100" s="35">
        <f t="shared" si="64"/>
        <v>0</v>
      </c>
      <c r="N100" s="35">
        <f t="shared" si="64"/>
        <v>0</v>
      </c>
      <c r="O100" s="35">
        <f t="shared" ref="O100:Z100" si="65">O99</f>
        <v>12548.34</v>
      </c>
      <c r="P100" s="35">
        <f t="shared" si="65"/>
        <v>27182.402999999998</v>
      </c>
      <c r="Q100" s="35">
        <f t="shared" si="65"/>
        <v>44309.19</v>
      </c>
      <c r="R100" s="35">
        <f t="shared" si="65"/>
        <v>59935.6</v>
      </c>
      <c r="S100" s="35">
        <f t="shared" si="65"/>
        <v>74240.95</v>
      </c>
      <c r="T100" s="35">
        <f t="shared" si="65"/>
        <v>92093.82</v>
      </c>
      <c r="U100" s="35">
        <f t="shared" si="65"/>
        <v>107196.38</v>
      </c>
      <c r="V100" s="35">
        <f t="shared" si="65"/>
        <v>121939.719</v>
      </c>
      <c r="W100" s="35">
        <f t="shared" si="65"/>
        <v>138981.94899999999</v>
      </c>
      <c r="X100" s="35">
        <f t="shared" si="65"/>
        <v>155888.049</v>
      </c>
      <c r="Y100" s="35">
        <f t="shared" si="65"/>
        <v>168189.359</v>
      </c>
      <c r="Z100" s="35">
        <f t="shared" si="65"/>
        <v>175211.13099999999</v>
      </c>
      <c r="AA100" s="35">
        <f t="shared" si="64"/>
        <v>11008.945</v>
      </c>
      <c r="AB100" s="35">
        <f t="shared" si="64"/>
        <v>25943.858</v>
      </c>
      <c r="AC100" s="35">
        <f t="shared" si="64"/>
        <v>43484.375</v>
      </c>
      <c r="AD100" s="35">
        <f t="shared" si="64"/>
        <v>61757.353000000003</v>
      </c>
      <c r="AE100" s="35">
        <f t="shared" si="64"/>
        <v>76648.244000000006</v>
      </c>
      <c r="AF100" s="35">
        <f t="shared" si="64"/>
        <v>92993.917000000001</v>
      </c>
      <c r="AG100" s="35">
        <f t="shared" si="64"/>
        <v>109310.36500000001</v>
      </c>
      <c r="AH100" s="35">
        <f t="shared" si="64"/>
        <v>123130.11500000001</v>
      </c>
      <c r="AI100" s="35">
        <f t="shared" si="64"/>
        <v>140144.39499999999</v>
      </c>
      <c r="AJ100" s="35">
        <f t="shared" si="64"/>
        <v>155688.39499999999</v>
      </c>
      <c r="AK100" s="35">
        <f t="shared" si="64"/>
        <v>168070.32800000001</v>
      </c>
      <c r="AL100" s="35">
        <f t="shared" si="64"/>
        <v>174894.93400000001</v>
      </c>
      <c r="AM100" s="35">
        <f t="shared" ref="AM100:AY100" si="66">AM99</f>
        <v>14299.323</v>
      </c>
      <c r="AN100" s="35">
        <f t="shared" si="66"/>
        <v>29852.74</v>
      </c>
      <c r="AO100" s="35">
        <f t="shared" si="66"/>
        <v>46255.83</v>
      </c>
      <c r="AP100" s="35">
        <f t="shared" si="66"/>
        <v>61198.33</v>
      </c>
      <c r="AQ100" s="35">
        <f t="shared" si="66"/>
        <v>72033.615999999995</v>
      </c>
      <c r="AR100" s="35">
        <f t="shared" si="66"/>
        <v>86318.233999999997</v>
      </c>
      <c r="AS100" s="35">
        <f t="shared" si="66"/>
        <v>100079.704</v>
      </c>
      <c r="AT100" s="35">
        <f t="shared" si="66"/>
        <v>113558.18799999999</v>
      </c>
      <c r="AU100" s="35">
        <f t="shared" si="66"/>
        <v>127949.908</v>
      </c>
      <c r="AV100" s="35">
        <f t="shared" si="66"/>
        <v>142991.37100000001</v>
      </c>
      <c r="AW100" s="35">
        <f t="shared" si="66"/>
        <v>154529.177</v>
      </c>
      <c r="AX100" s="35">
        <f t="shared" si="66"/>
        <v>161832.34400000001</v>
      </c>
      <c r="AY100" s="35">
        <f t="shared" si="66"/>
        <v>162352.20300000001</v>
      </c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</row>
    <row r="101" spans="1:76" s="30" customFormat="1" hidden="1" outlineLevel="1">
      <c r="A101" s="21"/>
      <c r="B101" s="24" t="s">
        <v>17</v>
      </c>
      <c r="C101" s="36">
        <f>C100</f>
        <v>12548.34</v>
      </c>
      <c r="D101" s="36">
        <f>D100</f>
        <v>27182.402999999998</v>
      </c>
      <c r="E101" s="36">
        <f>E100</f>
        <v>44309.19</v>
      </c>
      <c r="F101" s="35">
        <f t="shared" ref="F101:N101" si="67">F100-C100</f>
        <v>46803.566000000006</v>
      </c>
      <c r="G101" s="35">
        <f t="shared" si="67"/>
        <v>-27182.402999999998</v>
      </c>
      <c r="H101" s="35">
        <f t="shared" si="67"/>
        <v>-44309.19</v>
      </c>
      <c r="I101" s="35">
        <f t="shared" si="67"/>
        <v>-59351.906000000003</v>
      </c>
      <c r="J101" s="35">
        <f t="shared" si="67"/>
        <v>0</v>
      </c>
      <c r="K101" s="35">
        <f t="shared" si="67"/>
        <v>0</v>
      </c>
      <c r="L101" s="35">
        <f t="shared" si="67"/>
        <v>0</v>
      </c>
      <c r="M101" s="35">
        <f t="shared" si="67"/>
        <v>0</v>
      </c>
      <c r="N101" s="35">
        <f t="shared" si="67"/>
        <v>0</v>
      </c>
      <c r="O101" s="36">
        <f>O100</f>
        <v>12548.34</v>
      </c>
      <c r="P101" s="36">
        <f>P100</f>
        <v>27182.402999999998</v>
      </c>
      <c r="Q101" s="36">
        <f>Q100</f>
        <v>44309.19</v>
      </c>
      <c r="R101" s="35">
        <f t="shared" ref="R101" si="68">R100-O100</f>
        <v>47387.259999999995</v>
      </c>
      <c r="S101" s="35">
        <f t="shared" ref="S101" si="69">S100-P100</f>
        <v>47058.546999999999</v>
      </c>
      <c r="T101" s="35">
        <f t="shared" ref="T101" si="70">T100-Q100</f>
        <v>47784.630000000005</v>
      </c>
      <c r="U101" s="35">
        <f t="shared" ref="U101" si="71">U100-R100</f>
        <v>47260.780000000006</v>
      </c>
      <c r="V101" s="35">
        <f t="shared" ref="V101" si="72">V100-S100</f>
        <v>47698.769</v>
      </c>
      <c r="W101" s="35">
        <f t="shared" ref="W101" si="73">W100-T100</f>
        <v>46888.128999999986</v>
      </c>
      <c r="X101" s="35">
        <f t="shared" ref="X101" si="74">X100-U100</f>
        <v>48691.668999999994</v>
      </c>
      <c r="Y101" s="35">
        <f t="shared" ref="Y101" si="75">Y100-V100</f>
        <v>46249.64</v>
      </c>
      <c r="Z101" s="35">
        <f t="shared" ref="Z101" si="76">Z100-W100</f>
        <v>36229.182000000001</v>
      </c>
      <c r="AA101" s="36">
        <f>AA100</f>
        <v>11008.945</v>
      </c>
      <c r="AB101" s="36">
        <f>AB100</f>
        <v>25943.858</v>
      </c>
      <c r="AC101" s="36">
        <f>AC100</f>
        <v>43484.375</v>
      </c>
      <c r="AD101" s="35">
        <f t="shared" ref="AD101:AL101" si="77">AD100-AA100</f>
        <v>50748.408000000003</v>
      </c>
      <c r="AE101" s="35">
        <f t="shared" si="77"/>
        <v>50704.386000000006</v>
      </c>
      <c r="AF101" s="35">
        <f t="shared" si="77"/>
        <v>49509.542000000001</v>
      </c>
      <c r="AG101" s="35">
        <f t="shared" si="77"/>
        <v>47553.012000000002</v>
      </c>
      <c r="AH101" s="35">
        <f t="shared" si="77"/>
        <v>46481.870999999999</v>
      </c>
      <c r="AI101" s="35">
        <f t="shared" si="77"/>
        <v>47150.477999999988</v>
      </c>
      <c r="AJ101" s="35">
        <f t="shared" si="77"/>
        <v>46378.029999999984</v>
      </c>
      <c r="AK101" s="35">
        <f t="shared" si="77"/>
        <v>44940.213000000003</v>
      </c>
      <c r="AL101" s="35">
        <f t="shared" si="77"/>
        <v>34750.539000000019</v>
      </c>
      <c r="AM101" s="36">
        <f>AM100</f>
        <v>14299.323</v>
      </c>
      <c r="AN101" s="36">
        <f>AN100</f>
        <v>29852.74</v>
      </c>
      <c r="AO101" s="36">
        <f>AO100</f>
        <v>46255.83</v>
      </c>
      <c r="AP101" s="36">
        <f>AP100</f>
        <v>61198.33</v>
      </c>
      <c r="AQ101" s="35">
        <f t="shared" ref="AQ101" si="78">AQ100-AN100</f>
        <v>42180.875999999989</v>
      </c>
      <c r="AR101" s="35">
        <f t="shared" ref="AR101" si="79">AR100-AO100</f>
        <v>40062.403999999995</v>
      </c>
      <c r="AS101" s="35">
        <f t="shared" ref="AS101" si="80">AS100-AP100</f>
        <v>38881.373999999996</v>
      </c>
      <c r="AT101" s="35">
        <f t="shared" ref="AT101" si="81">AT100-AQ100</f>
        <v>41524.572</v>
      </c>
      <c r="AU101" s="35">
        <f t="shared" ref="AU101" si="82">AU100-AR100</f>
        <v>41631.673999999999</v>
      </c>
      <c r="AV101" s="35">
        <f t="shared" ref="AV101" si="83">AV100-AS100</f>
        <v>42911.667000000016</v>
      </c>
      <c r="AW101" s="35">
        <f t="shared" ref="AW101" si="84">AW100-AT100</f>
        <v>40970.989000000001</v>
      </c>
      <c r="AX101" s="35">
        <f t="shared" ref="AX101" si="85">AX100-AU100</f>
        <v>33882.436000000016</v>
      </c>
      <c r="AY101" s="39">
        <f>AY100-AU100</f>
        <v>34402.295000000013</v>
      </c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</row>
    <row r="102" spans="1:76" hidden="1" outlineLevel="1">
      <c r="A102" s="18">
        <v>1.1499999999999999</v>
      </c>
      <c r="B102" s="20" t="s">
        <v>16</v>
      </c>
      <c r="C102" s="219">
        <f t="shared" ref="C102:AY102" si="86">$A$102</f>
        <v>1.1499999999999999</v>
      </c>
      <c r="D102" s="219">
        <f t="shared" si="86"/>
        <v>1.1499999999999999</v>
      </c>
      <c r="E102" s="219">
        <f t="shared" si="86"/>
        <v>1.1499999999999999</v>
      </c>
      <c r="F102" s="219">
        <f t="shared" si="86"/>
        <v>1.1499999999999999</v>
      </c>
      <c r="G102" s="219">
        <f t="shared" si="86"/>
        <v>1.1499999999999999</v>
      </c>
      <c r="H102" s="219">
        <f t="shared" si="86"/>
        <v>1.1499999999999999</v>
      </c>
      <c r="I102" s="219">
        <f t="shared" si="86"/>
        <v>1.1499999999999999</v>
      </c>
      <c r="J102" s="219">
        <f t="shared" si="86"/>
        <v>1.1499999999999999</v>
      </c>
      <c r="K102" s="219">
        <f t="shared" si="86"/>
        <v>1.1499999999999999</v>
      </c>
      <c r="L102" s="219">
        <f t="shared" si="86"/>
        <v>1.1499999999999999</v>
      </c>
      <c r="M102" s="219">
        <f t="shared" si="86"/>
        <v>1.1499999999999999</v>
      </c>
      <c r="N102" s="219">
        <f t="shared" si="86"/>
        <v>1.1499999999999999</v>
      </c>
      <c r="O102" s="219">
        <f t="shared" si="86"/>
        <v>1.1499999999999999</v>
      </c>
      <c r="P102" s="219">
        <f t="shared" si="86"/>
        <v>1.1499999999999999</v>
      </c>
      <c r="Q102" s="219">
        <f t="shared" si="86"/>
        <v>1.1499999999999999</v>
      </c>
      <c r="R102" s="219">
        <f t="shared" si="86"/>
        <v>1.1499999999999999</v>
      </c>
      <c r="S102" s="219">
        <f t="shared" si="86"/>
        <v>1.1499999999999999</v>
      </c>
      <c r="T102" s="219">
        <f t="shared" si="86"/>
        <v>1.1499999999999999</v>
      </c>
      <c r="U102" s="219">
        <f t="shared" si="86"/>
        <v>1.1499999999999999</v>
      </c>
      <c r="V102" s="219">
        <f t="shared" si="86"/>
        <v>1.1499999999999999</v>
      </c>
      <c r="W102" s="219">
        <f t="shared" si="86"/>
        <v>1.1499999999999999</v>
      </c>
      <c r="X102" s="219">
        <f t="shared" si="86"/>
        <v>1.1499999999999999</v>
      </c>
      <c r="Y102" s="219">
        <f t="shared" si="86"/>
        <v>1.1499999999999999</v>
      </c>
      <c r="Z102" s="219">
        <f t="shared" si="86"/>
        <v>1.1499999999999999</v>
      </c>
      <c r="AA102" s="219">
        <f t="shared" si="86"/>
        <v>1.1499999999999999</v>
      </c>
      <c r="AB102" s="219">
        <f t="shared" si="86"/>
        <v>1.1499999999999999</v>
      </c>
      <c r="AC102" s="219">
        <f t="shared" si="86"/>
        <v>1.1499999999999999</v>
      </c>
      <c r="AD102" s="219">
        <f t="shared" si="86"/>
        <v>1.1499999999999999</v>
      </c>
      <c r="AE102" s="219">
        <f t="shared" si="86"/>
        <v>1.1499999999999999</v>
      </c>
      <c r="AF102" s="219">
        <f t="shared" si="86"/>
        <v>1.1499999999999999</v>
      </c>
      <c r="AG102" s="219">
        <f t="shared" si="86"/>
        <v>1.1499999999999999</v>
      </c>
      <c r="AH102" s="219">
        <f t="shared" si="86"/>
        <v>1.1499999999999999</v>
      </c>
      <c r="AI102" s="219">
        <f t="shared" si="86"/>
        <v>1.1499999999999999</v>
      </c>
      <c r="AJ102" s="219">
        <f t="shared" si="86"/>
        <v>1.1499999999999999</v>
      </c>
      <c r="AK102" s="219">
        <f t="shared" si="86"/>
        <v>1.1499999999999999</v>
      </c>
      <c r="AL102" s="219">
        <f t="shared" si="86"/>
        <v>1.1499999999999999</v>
      </c>
      <c r="AM102" s="219">
        <f t="shared" si="86"/>
        <v>1.1499999999999999</v>
      </c>
      <c r="AN102" s="219">
        <f t="shared" si="86"/>
        <v>1.1499999999999999</v>
      </c>
      <c r="AO102" s="219">
        <f t="shared" si="86"/>
        <v>1.1499999999999999</v>
      </c>
      <c r="AP102" s="219">
        <f t="shared" si="86"/>
        <v>1.1499999999999999</v>
      </c>
      <c r="AQ102" s="219">
        <f t="shared" si="86"/>
        <v>1.1499999999999999</v>
      </c>
      <c r="AR102" s="219">
        <f t="shared" si="86"/>
        <v>1.1499999999999999</v>
      </c>
      <c r="AS102" s="219">
        <f t="shared" si="86"/>
        <v>1.1499999999999999</v>
      </c>
      <c r="AT102" s="219">
        <f t="shared" si="86"/>
        <v>1.1499999999999999</v>
      </c>
      <c r="AU102" s="219">
        <f t="shared" si="86"/>
        <v>1.1499999999999999</v>
      </c>
      <c r="AV102" s="219">
        <f t="shared" si="86"/>
        <v>1.1499999999999999</v>
      </c>
      <c r="AW102" s="219">
        <f t="shared" si="86"/>
        <v>1.1499999999999999</v>
      </c>
      <c r="AX102" s="219">
        <f t="shared" si="86"/>
        <v>1.1499999999999999</v>
      </c>
      <c r="AY102" s="219">
        <f t="shared" si="86"/>
        <v>1.1499999999999999</v>
      </c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</row>
    <row r="103" spans="1:76" s="30" customFormat="1" hidden="1" outlineLevel="1">
      <c r="A103" s="21"/>
      <c r="B103" s="24" t="s">
        <v>15</v>
      </c>
      <c r="C103" s="35">
        <f t="shared" ref="C103:AL103" si="87">C100*C102</f>
        <v>14430.590999999999</v>
      </c>
      <c r="D103" s="35">
        <f t="shared" si="87"/>
        <v>31259.763449999995</v>
      </c>
      <c r="E103" s="35">
        <f t="shared" si="87"/>
        <v>50955.568500000001</v>
      </c>
      <c r="F103" s="35">
        <f t="shared" si="87"/>
        <v>68254.691899999991</v>
      </c>
      <c r="G103" s="35">
        <f t="shared" si="87"/>
        <v>0</v>
      </c>
      <c r="H103" s="35">
        <f t="shared" si="87"/>
        <v>0</v>
      </c>
      <c r="I103" s="35">
        <f t="shared" si="87"/>
        <v>0</v>
      </c>
      <c r="J103" s="35">
        <f t="shared" si="87"/>
        <v>0</v>
      </c>
      <c r="K103" s="35">
        <f t="shared" si="87"/>
        <v>0</v>
      </c>
      <c r="L103" s="35">
        <f t="shared" si="87"/>
        <v>0</v>
      </c>
      <c r="M103" s="35">
        <f t="shared" si="87"/>
        <v>0</v>
      </c>
      <c r="N103" s="35">
        <f t="shared" si="87"/>
        <v>0</v>
      </c>
      <c r="O103" s="35">
        <f t="shared" ref="O103:Z103" si="88">O100*O102</f>
        <v>14430.590999999999</v>
      </c>
      <c r="P103" s="35">
        <f t="shared" si="88"/>
        <v>31259.763449999995</v>
      </c>
      <c r="Q103" s="35">
        <f t="shared" si="88"/>
        <v>50955.568500000001</v>
      </c>
      <c r="R103" s="35">
        <f t="shared" si="88"/>
        <v>68925.939999999988</v>
      </c>
      <c r="S103" s="35">
        <f t="shared" si="88"/>
        <v>85377.092499999984</v>
      </c>
      <c r="T103" s="35">
        <f t="shared" si="88"/>
        <v>105907.893</v>
      </c>
      <c r="U103" s="35">
        <f t="shared" si="88"/>
        <v>123275.837</v>
      </c>
      <c r="V103" s="35">
        <f t="shared" si="88"/>
        <v>140230.67684999999</v>
      </c>
      <c r="W103" s="35">
        <f t="shared" si="88"/>
        <v>159829.24134999997</v>
      </c>
      <c r="X103" s="35">
        <f t="shared" si="88"/>
        <v>179271.25634999998</v>
      </c>
      <c r="Y103" s="35">
        <f t="shared" si="88"/>
        <v>193417.76284999997</v>
      </c>
      <c r="Z103" s="35">
        <f t="shared" si="88"/>
        <v>201492.80064999999</v>
      </c>
      <c r="AA103" s="35">
        <f t="shared" si="87"/>
        <v>12660.286749999999</v>
      </c>
      <c r="AB103" s="35">
        <f t="shared" si="87"/>
        <v>29835.436699999998</v>
      </c>
      <c r="AC103" s="35">
        <f t="shared" si="87"/>
        <v>50007.031249999993</v>
      </c>
      <c r="AD103" s="35">
        <f t="shared" si="87"/>
        <v>71020.955950000003</v>
      </c>
      <c r="AE103" s="35">
        <f t="shared" si="87"/>
        <v>88145.480599999995</v>
      </c>
      <c r="AF103" s="35">
        <f t="shared" si="87"/>
        <v>106943.00455</v>
      </c>
      <c r="AG103" s="35">
        <f t="shared" si="87"/>
        <v>125706.91975</v>
      </c>
      <c r="AH103" s="35">
        <f t="shared" si="87"/>
        <v>141599.63225</v>
      </c>
      <c r="AI103" s="35">
        <f t="shared" si="87"/>
        <v>161166.05424999999</v>
      </c>
      <c r="AJ103" s="35">
        <f t="shared" si="87"/>
        <v>179041.65424999996</v>
      </c>
      <c r="AK103" s="35">
        <f t="shared" si="87"/>
        <v>193280.87719999999</v>
      </c>
      <c r="AL103" s="35">
        <f t="shared" si="87"/>
        <v>201129.1741</v>
      </c>
      <c r="AM103" s="35">
        <f t="shared" ref="AM103:AY103" si="89">AM100*AM102</f>
        <v>16444.221450000001</v>
      </c>
      <c r="AN103" s="35">
        <f t="shared" si="89"/>
        <v>34330.650999999998</v>
      </c>
      <c r="AO103" s="35">
        <f t="shared" si="89"/>
        <v>53194.2045</v>
      </c>
      <c r="AP103" s="35">
        <f t="shared" si="89"/>
        <v>70378.079499999993</v>
      </c>
      <c r="AQ103" s="35">
        <f t="shared" si="89"/>
        <v>82838.658399999986</v>
      </c>
      <c r="AR103" s="35">
        <f t="shared" si="89"/>
        <v>99265.969099999988</v>
      </c>
      <c r="AS103" s="35">
        <f t="shared" si="89"/>
        <v>115091.65959999998</v>
      </c>
      <c r="AT103" s="35">
        <f t="shared" si="89"/>
        <v>130591.91619999998</v>
      </c>
      <c r="AU103" s="35">
        <f t="shared" si="89"/>
        <v>147142.39419999998</v>
      </c>
      <c r="AV103" s="35">
        <f t="shared" si="89"/>
        <v>164440.07665</v>
      </c>
      <c r="AW103" s="35">
        <f t="shared" si="89"/>
        <v>177708.55354999998</v>
      </c>
      <c r="AX103" s="35">
        <f t="shared" si="89"/>
        <v>186107.19560000001</v>
      </c>
      <c r="AY103" s="35">
        <f t="shared" si="89"/>
        <v>186705.03344999999</v>
      </c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</row>
    <row r="104" spans="1:76" s="30" customFormat="1" hidden="1" outlineLevel="1">
      <c r="A104" s="21"/>
      <c r="B104" s="24" t="s">
        <v>14</v>
      </c>
      <c r="C104" s="36">
        <f>C103</f>
        <v>14430.590999999999</v>
      </c>
      <c r="D104" s="36">
        <f>D103</f>
        <v>31259.763449999995</v>
      </c>
      <c r="E104" s="36">
        <f>E103</f>
        <v>50955.568500000001</v>
      </c>
      <c r="F104" s="35">
        <f t="shared" ref="F104:N104" si="90">F103-C103</f>
        <v>53824.10089999999</v>
      </c>
      <c r="G104" s="35">
        <f t="shared" si="90"/>
        <v>-31259.763449999995</v>
      </c>
      <c r="H104" s="35">
        <f t="shared" si="90"/>
        <v>-50955.568500000001</v>
      </c>
      <c r="I104" s="35">
        <f t="shared" si="90"/>
        <v>-68254.691899999991</v>
      </c>
      <c r="J104" s="35">
        <f t="shared" si="90"/>
        <v>0</v>
      </c>
      <c r="K104" s="35">
        <f t="shared" si="90"/>
        <v>0</v>
      </c>
      <c r="L104" s="35">
        <f t="shared" si="90"/>
        <v>0</v>
      </c>
      <c r="M104" s="35">
        <f t="shared" si="90"/>
        <v>0</v>
      </c>
      <c r="N104" s="35">
        <f t="shared" si="90"/>
        <v>0</v>
      </c>
      <c r="O104" s="36">
        <f>O103</f>
        <v>14430.590999999999</v>
      </c>
      <c r="P104" s="36">
        <f>P103</f>
        <v>31259.763449999995</v>
      </c>
      <c r="Q104" s="36">
        <f>Q103</f>
        <v>50955.568500000001</v>
      </c>
      <c r="R104" s="35">
        <f t="shared" ref="R104" si="91">R103-O103</f>
        <v>54495.348999999987</v>
      </c>
      <c r="S104" s="35">
        <f t="shared" ref="S104" si="92">S103-P103</f>
        <v>54117.329049999986</v>
      </c>
      <c r="T104" s="35">
        <f t="shared" ref="T104" si="93">T103-Q103</f>
        <v>54952.324499999995</v>
      </c>
      <c r="U104" s="35">
        <f t="shared" ref="U104" si="94">U103-R103</f>
        <v>54349.897000000012</v>
      </c>
      <c r="V104" s="35">
        <f t="shared" ref="V104" si="95">V103-S103</f>
        <v>54853.584350000005</v>
      </c>
      <c r="W104" s="35">
        <f t="shared" ref="W104" si="96">W103-T103</f>
        <v>53921.348349999971</v>
      </c>
      <c r="X104" s="35">
        <f t="shared" ref="X104" si="97">X103-U103</f>
        <v>55995.419349999982</v>
      </c>
      <c r="Y104" s="35">
        <f t="shared" ref="Y104" si="98">Y103-V103</f>
        <v>53187.085999999981</v>
      </c>
      <c r="Z104" s="35">
        <f t="shared" ref="Z104" si="99">Z103-W103</f>
        <v>41663.559300000023</v>
      </c>
      <c r="AA104" s="36">
        <f>AA103</f>
        <v>12660.286749999999</v>
      </c>
      <c r="AB104" s="36">
        <f>AB103</f>
        <v>29835.436699999998</v>
      </c>
      <c r="AC104" s="36">
        <f>AC103</f>
        <v>50007.031249999993</v>
      </c>
      <c r="AD104" s="35">
        <f t="shared" ref="AD104:AL104" si="100">AD103-AA103</f>
        <v>58360.669200000004</v>
      </c>
      <c r="AE104" s="35">
        <f t="shared" si="100"/>
        <v>58310.043899999997</v>
      </c>
      <c r="AF104" s="35">
        <f t="shared" si="100"/>
        <v>56935.973300000005</v>
      </c>
      <c r="AG104" s="35">
        <f t="shared" si="100"/>
        <v>54685.963799999998</v>
      </c>
      <c r="AH104" s="35">
        <f t="shared" si="100"/>
        <v>53454.15165</v>
      </c>
      <c r="AI104" s="35">
        <f t="shared" si="100"/>
        <v>54223.049699999989</v>
      </c>
      <c r="AJ104" s="35">
        <f t="shared" si="100"/>
        <v>53334.734499999962</v>
      </c>
      <c r="AK104" s="35">
        <f t="shared" si="100"/>
        <v>51681.244949999993</v>
      </c>
      <c r="AL104" s="35">
        <f t="shared" si="100"/>
        <v>39963.119850000017</v>
      </c>
      <c r="AM104" s="36">
        <f>AM103</f>
        <v>16444.221450000001</v>
      </c>
      <c r="AN104" s="36">
        <f>AN103</f>
        <v>34330.650999999998</v>
      </c>
      <c r="AO104" s="36">
        <f>AO103</f>
        <v>53194.2045</v>
      </c>
      <c r="AP104" s="36">
        <f>AP103</f>
        <v>70378.079499999993</v>
      </c>
      <c r="AQ104" s="35">
        <f t="shared" ref="AQ104" si="101">AQ103-AN103</f>
        <v>48508.007399999988</v>
      </c>
      <c r="AR104" s="35">
        <f t="shared" ref="AR104" si="102">AR103-AO103</f>
        <v>46071.764599999988</v>
      </c>
      <c r="AS104" s="35">
        <f t="shared" ref="AS104" si="103">AS103-AP103</f>
        <v>44713.580099999992</v>
      </c>
      <c r="AT104" s="35">
        <f t="shared" ref="AT104" si="104">AT103-AQ103</f>
        <v>47753.257799999992</v>
      </c>
      <c r="AU104" s="35">
        <f t="shared" ref="AU104" si="105">AU103-AR103</f>
        <v>47876.425099999993</v>
      </c>
      <c r="AV104" s="35">
        <f t="shared" ref="AV104" si="106">AV103-AS103</f>
        <v>49348.417050000018</v>
      </c>
      <c r="AW104" s="35">
        <f t="shared" ref="AW104" si="107">AW103-AT103</f>
        <v>47116.637350000005</v>
      </c>
      <c r="AX104" s="35">
        <f t="shared" ref="AX104" si="108">AX103-AU103</f>
        <v>38964.801400000026</v>
      </c>
      <c r="AY104" s="39">
        <f>AY103-AU103</f>
        <v>39562.639250000007</v>
      </c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</row>
    <row r="105" spans="1:76" hidden="1" outlineLevel="1">
      <c r="A105" s="18"/>
      <c r="B105" s="20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</row>
    <row r="106" spans="1:76" hidden="1" outlineLevel="1">
      <c r="A106" s="18"/>
      <c r="B106" s="20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</row>
    <row r="107" spans="1:76" hidden="1" outlineLevel="1">
      <c r="A107" s="23" t="str">
        <f>_xll.IdPrj.AnalyzerFuncs.AnalyzerOLAPMember("[Account].[Reporting Hierarchy].&amp;[2271]","","R2000 - Trading : RM Purchase","","-524283.-524283.2271","[Account].[Reporting Hierarchy]","000","D0")</f>
        <v>R2000 - Trading : RM Purchase</v>
      </c>
      <c r="B107" s="18" t="str">
        <f>_xll.IdPrj.AnalyzerFuncs.AnalyzerOLAPMember("[Destination].&amp;[0]","","No Destination","","2.2.0","[Destination]","000","D1")</f>
        <v>No Destination</v>
      </c>
      <c r="C107" s="33">
        <v>-5131.3379999999997</v>
      </c>
      <c r="D107" s="33">
        <v>-10389.385</v>
      </c>
      <c r="E107" s="33">
        <v>-16486.893</v>
      </c>
      <c r="F107" s="33">
        <v>-20271.564999999999</v>
      </c>
      <c r="G107" s="33"/>
      <c r="H107" s="33"/>
      <c r="I107" s="33"/>
      <c r="J107" s="33"/>
      <c r="K107" s="33"/>
      <c r="L107" s="33"/>
      <c r="M107" s="33"/>
      <c r="N107" s="33"/>
      <c r="O107" s="33">
        <v>-5131.3379999999997</v>
      </c>
      <c r="P107" s="33">
        <v>-10389.385</v>
      </c>
      <c r="Q107" s="33">
        <v>-16486.893</v>
      </c>
      <c r="R107" s="33">
        <v>-21806.352999999999</v>
      </c>
      <c r="S107" s="33">
        <v>-26515.5</v>
      </c>
      <c r="T107" s="33">
        <v>-31917.52</v>
      </c>
      <c r="U107" s="33">
        <v>-37685.919999999998</v>
      </c>
      <c r="V107" s="33">
        <v>-41932.269999999997</v>
      </c>
      <c r="W107" s="33">
        <v>-47247.41</v>
      </c>
      <c r="X107" s="33">
        <v>-52218.55</v>
      </c>
      <c r="Y107" s="33">
        <v>-55740.59</v>
      </c>
      <c r="Z107" s="33">
        <v>-58469.254000000001</v>
      </c>
      <c r="AA107" s="33">
        <v>-4536.2560000000003</v>
      </c>
      <c r="AB107" s="33">
        <v>-9545.0020000000004</v>
      </c>
      <c r="AC107" s="33">
        <v>-14807.002</v>
      </c>
      <c r="AD107" s="33">
        <v>-20826.481</v>
      </c>
      <c r="AE107" s="33">
        <v>-25640.982</v>
      </c>
      <c r="AF107" s="33">
        <v>-30554.771000000001</v>
      </c>
      <c r="AG107" s="33">
        <v>-36650.894999999997</v>
      </c>
      <c r="AH107" s="33">
        <v>-40271.502999999997</v>
      </c>
      <c r="AI107" s="33">
        <v>-45500.14</v>
      </c>
      <c r="AJ107" s="33">
        <v>-49877.589</v>
      </c>
      <c r="AK107" s="33">
        <v>-53690.726000000002</v>
      </c>
      <c r="AL107" s="33">
        <v>-56136.252</v>
      </c>
      <c r="AM107" s="33">
        <v>-5228.482</v>
      </c>
      <c r="AN107" s="33">
        <v>-9980.3829999999998</v>
      </c>
      <c r="AO107" s="33">
        <v>-14651.651</v>
      </c>
      <c r="AP107" s="33">
        <v>-18843.972000000002</v>
      </c>
      <c r="AQ107" s="33">
        <v>-22531.281999999999</v>
      </c>
      <c r="AR107" s="33">
        <v>-27013.728999999999</v>
      </c>
      <c r="AS107" s="33">
        <v>-33516.959000000003</v>
      </c>
      <c r="AT107" s="33">
        <v>-36549.737999999998</v>
      </c>
      <c r="AU107" s="33">
        <v>-39488.311999999998</v>
      </c>
      <c r="AV107" s="33">
        <v>-43465.57</v>
      </c>
      <c r="AW107" s="33">
        <v>-46634.332999999999</v>
      </c>
      <c r="AX107" s="33">
        <v>-48274.84</v>
      </c>
      <c r="AY107" s="33">
        <v>-49705.084000000003</v>
      </c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</row>
    <row r="108" spans="1:76" hidden="1" outlineLevel="1">
      <c r="A108" s="23" t="str">
        <f>_xll.IdPrj.AnalyzerFuncs.AnalyzerOLAPMember("[Account].[Reporting Hierarchy].&amp;[2292]","","R2100 - Trading : Variation Inventory RM","","-524283.-524283.2292","[Account].[Reporting Hierarchy]","000","D0")</f>
        <v>R2100 - Trading : Variation Inventory RM</v>
      </c>
      <c r="B108" s="18" t="str">
        <f>_xll.IdPrj.AnalyzerFuncs.AnalyzerOLAPMember("[Destination].&amp;[0]","","No Destination","","2.2.0","[Destination]","000","D1")</f>
        <v>No Destination</v>
      </c>
      <c r="C108" s="33">
        <v>713.35573999999997</v>
      </c>
      <c r="D108" s="33">
        <v>-488.36308000000002</v>
      </c>
      <c r="E108" s="33">
        <v>-997.16078000000005</v>
      </c>
      <c r="F108" s="33">
        <v>-1468.2912799999999</v>
      </c>
      <c r="G108" s="33"/>
      <c r="H108" s="33"/>
      <c r="I108" s="33"/>
      <c r="J108" s="33"/>
      <c r="K108" s="33"/>
      <c r="L108" s="33"/>
      <c r="M108" s="33"/>
      <c r="N108" s="33"/>
      <c r="O108" s="33">
        <v>739.63502000000005</v>
      </c>
      <c r="P108" s="33">
        <v>-462.0838</v>
      </c>
      <c r="Q108" s="33">
        <v>-997.16078000000005</v>
      </c>
      <c r="R108" s="33">
        <v>-417.77938</v>
      </c>
      <c r="S108" s="33">
        <v>-490.56938000000002</v>
      </c>
      <c r="T108" s="33">
        <v>-722.80938000000003</v>
      </c>
      <c r="U108" s="33">
        <v>-455.12938000000003</v>
      </c>
      <c r="V108" s="33">
        <v>-958.58938000000001</v>
      </c>
      <c r="W108" s="33">
        <v>-1367.6993799999998</v>
      </c>
      <c r="X108" s="33">
        <v>-1409.6193799999999</v>
      </c>
      <c r="Y108" s="33">
        <v>-1776.5493799999999</v>
      </c>
      <c r="Z108" s="33">
        <v>-1792.21938</v>
      </c>
      <c r="AA108" s="33">
        <v>106.73</v>
      </c>
      <c r="AB108" s="33">
        <v>140.13999999999999</v>
      </c>
      <c r="AC108" s="33">
        <v>-66.959999999999994</v>
      </c>
      <c r="AD108" s="33">
        <v>-112.89</v>
      </c>
      <c r="AE108" s="33">
        <v>-52.68</v>
      </c>
      <c r="AF108" s="33">
        <v>-151.91999999999999</v>
      </c>
      <c r="AG108" s="33">
        <v>281.76</v>
      </c>
      <c r="AH108" s="33">
        <v>-290.7</v>
      </c>
      <c r="AI108" s="33">
        <v>-583.80999999999995</v>
      </c>
      <c r="AJ108" s="33">
        <v>-729.73</v>
      </c>
      <c r="AK108" s="33">
        <v>-875.66</v>
      </c>
      <c r="AL108" s="33">
        <v>-895.33</v>
      </c>
      <c r="AM108" s="33">
        <v>284.90578899999997</v>
      </c>
      <c r="AN108" s="33">
        <v>-734.86</v>
      </c>
      <c r="AO108" s="33">
        <v>-1539.253211</v>
      </c>
      <c r="AP108" s="33">
        <v>-1609.9012109999999</v>
      </c>
      <c r="AQ108" s="33">
        <v>-1613.0742109999999</v>
      </c>
      <c r="AR108" s="33">
        <v>-1908.2362109999999</v>
      </c>
      <c r="AS108" s="33">
        <v>-1025.666211</v>
      </c>
      <c r="AT108" s="33">
        <v>-1768.041211</v>
      </c>
      <c r="AU108" s="33">
        <v>-2147.1522110000001</v>
      </c>
      <c r="AV108" s="33">
        <v>-2320.1232110000001</v>
      </c>
      <c r="AW108" s="33">
        <v>-2649.7832109999999</v>
      </c>
      <c r="AX108" s="33">
        <v>-3534.7768310000001</v>
      </c>
      <c r="AY108" s="33">
        <v>-2604.991211</v>
      </c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</row>
    <row r="109" spans="1:76" hidden="1" outlineLevel="1">
      <c r="A109" s="22" t="str">
        <f>_xll.IdPrj.AnalyzerFuncs.AnalyzerOLAPMember("[Account].[Reporting Hierarchy].&amp;[2291]","","R624100 - Freight ( from suppliers' manufact. )","","-524283.-524283.2291","[Account].[Reporting Hierarchy]","000","D0")</f>
        <v>R624100 - Freight ( from suppliers' manufact. )</v>
      </c>
      <c r="B109" s="18" t="str">
        <f>_xll.IdPrj.AnalyzerFuncs.AnalyzerOLAPMember("[Destination].&amp;[0]","","No Destination","","2.2.0","[Destination]","000","D1")</f>
        <v>No Destination</v>
      </c>
      <c r="C109" s="33">
        <v>-62.237000000000002</v>
      </c>
      <c r="D109" s="33">
        <v>-147.13900000000001</v>
      </c>
      <c r="E109" s="33">
        <v>-203.64599999999999</v>
      </c>
      <c r="F109" s="33">
        <v>-289.88900000000001</v>
      </c>
      <c r="G109" s="33"/>
      <c r="H109" s="33"/>
      <c r="I109" s="33"/>
      <c r="J109" s="33"/>
      <c r="K109" s="33"/>
      <c r="L109" s="33"/>
      <c r="M109" s="33"/>
      <c r="N109" s="33"/>
      <c r="O109" s="33">
        <v>-62.237000000000002</v>
      </c>
      <c r="P109" s="33">
        <v>-147.13900000000001</v>
      </c>
      <c r="Q109" s="33">
        <v>-203.64599999999999</v>
      </c>
      <c r="R109" s="33">
        <v>-278.976</v>
      </c>
      <c r="S109" s="33">
        <v>-340.23599999999999</v>
      </c>
      <c r="T109" s="33">
        <v>-408.89600000000002</v>
      </c>
      <c r="U109" s="33">
        <v>-476.92599999999999</v>
      </c>
      <c r="V109" s="33">
        <v>-534.42600000000004</v>
      </c>
      <c r="W109" s="33">
        <v>-605.58600000000001</v>
      </c>
      <c r="X109" s="33">
        <v>-670.48599999999999</v>
      </c>
      <c r="Y109" s="33">
        <v>-722.53599999999994</v>
      </c>
      <c r="Z109" s="33">
        <v>-750.53599999999994</v>
      </c>
      <c r="AA109" s="33">
        <v>-54.927</v>
      </c>
      <c r="AB109" s="33">
        <v>-131.40899999999999</v>
      </c>
      <c r="AC109" s="33">
        <v>-211.869</v>
      </c>
      <c r="AD109" s="33">
        <v>-294.03399999999999</v>
      </c>
      <c r="AE109" s="33">
        <v>-356.29599999999999</v>
      </c>
      <c r="AF109" s="33">
        <v>-425.18299999999999</v>
      </c>
      <c r="AG109" s="33">
        <v>-496.59300000000002</v>
      </c>
      <c r="AH109" s="33">
        <v>-560.16899999999998</v>
      </c>
      <c r="AI109" s="33">
        <v>-639.78099999999995</v>
      </c>
      <c r="AJ109" s="33">
        <v>-714.64300000000003</v>
      </c>
      <c r="AK109" s="33">
        <v>-778.54300000000001</v>
      </c>
      <c r="AL109" s="33">
        <v>-813.48800000000006</v>
      </c>
      <c r="AM109" s="33">
        <v>-64.941999999999993</v>
      </c>
      <c r="AN109" s="33">
        <v>-151.649</v>
      </c>
      <c r="AO109" s="33">
        <v>-241.32499999999999</v>
      </c>
      <c r="AP109" s="33">
        <v>-289.07600000000002</v>
      </c>
      <c r="AQ109" s="33">
        <v>-332.45299999999997</v>
      </c>
      <c r="AR109" s="33">
        <v>-384.084</v>
      </c>
      <c r="AS109" s="33">
        <v>-448.596</v>
      </c>
      <c r="AT109" s="33">
        <v>-507.41800000000001</v>
      </c>
      <c r="AU109" s="33">
        <v>-559.45000000000005</v>
      </c>
      <c r="AV109" s="33">
        <v>-635.471</v>
      </c>
      <c r="AW109" s="33">
        <v>-707.38</v>
      </c>
      <c r="AX109" s="33">
        <v>-749.02700000000004</v>
      </c>
      <c r="AY109" s="33">
        <v>-680.41200000000003</v>
      </c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</row>
    <row r="110" spans="1:76" s="30" customFormat="1" hidden="1" outlineLevel="1">
      <c r="A110" s="24"/>
      <c r="B110" s="38" t="s">
        <v>13</v>
      </c>
      <c r="C110" s="35">
        <f t="shared" ref="C110:AL110" si="109">SUM(C107:C108)-C109</f>
        <v>-4355.7452599999997</v>
      </c>
      <c r="D110" s="35">
        <f t="shared" si="109"/>
        <v>-10730.60908</v>
      </c>
      <c r="E110" s="35">
        <f t="shared" si="109"/>
        <v>-17280.407779999998</v>
      </c>
      <c r="F110" s="35">
        <f t="shared" si="109"/>
        <v>-21449.967280000001</v>
      </c>
      <c r="G110" s="35">
        <f t="shared" si="109"/>
        <v>0</v>
      </c>
      <c r="H110" s="35">
        <f t="shared" si="109"/>
        <v>0</v>
      </c>
      <c r="I110" s="35">
        <f t="shared" si="109"/>
        <v>0</v>
      </c>
      <c r="J110" s="35">
        <f t="shared" si="109"/>
        <v>0</v>
      </c>
      <c r="K110" s="35">
        <f t="shared" si="109"/>
        <v>0</v>
      </c>
      <c r="L110" s="35">
        <f t="shared" si="109"/>
        <v>0</v>
      </c>
      <c r="M110" s="35">
        <f t="shared" si="109"/>
        <v>0</v>
      </c>
      <c r="N110" s="35">
        <f t="shared" si="109"/>
        <v>0</v>
      </c>
      <c r="O110" s="35">
        <f t="shared" ref="O110:Z110" si="110">SUM(O107:O108)-O109</f>
        <v>-4329.4659799999999</v>
      </c>
      <c r="P110" s="35">
        <f t="shared" si="110"/>
        <v>-10704.329800000001</v>
      </c>
      <c r="Q110" s="35">
        <f t="shared" si="110"/>
        <v>-17280.407779999998</v>
      </c>
      <c r="R110" s="35">
        <f t="shared" si="110"/>
        <v>-21945.15638</v>
      </c>
      <c r="S110" s="35">
        <f t="shared" si="110"/>
        <v>-26665.83338</v>
      </c>
      <c r="T110" s="35">
        <f t="shared" si="110"/>
        <v>-32231.433379999999</v>
      </c>
      <c r="U110" s="35">
        <f t="shared" si="110"/>
        <v>-37664.123379999997</v>
      </c>
      <c r="V110" s="35">
        <f t="shared" si="110"/>
        <v>-42356.433379999995</v>
      </c>
      <c r="W110" s="35">
        <f t="shared" si="110"/>
        <v>-48009.523379999999</v>
      </c>
      <c r="X110" s="35">
        <f t="shared" si="110"/>
        <v>-52957.683380000002</v>
      </c>
      <c r="Y110" s="35">
        <f t="shared" si="110"/>
        <v>-56794.603379999993</v>
      </c>
      <c r="Z110" s="35">
        <f t="shared" si="110"/>
        <v>-59510.937380000003</v>
      </c>
      <c r="AA110" s="35">
        <f t="shared" si="109"/>
        <v>-4374.5990000000011</v>
      </c>
      <c r="AB110" s="35">
        <f t="shared" si="109"/>
        <v>-9273.4530000000013</v>
      </c>
      <c r="AC110" s="35">
        <f t="shared" si="109"/>
        <v>-14662.092999999999</v>
      </c>
      <c r="AD110" s="35">
        <f t="shared" si="109"/>
        <v>-20645.337</v>
      </c>
      <c r="AE110" s="35">
        <f t="shared" si="109"/>
        <v>-25337.366000000002</v>
      </c>
      <c r="AF110" s="35">
        <f t="shared" si="109"/>
        <v>-30281.507999999998</v>
      </c>
      <c r="AG110" s="35">
        <f t="shared" si="109"/>
        <v>-35872.541999999994</v>
      </c>
      <c r="AH110" s="35">
        <f t="shared" si="109"/>
        <v>-40002.033999999992</v>
      </c>
      <c r="AI110" s="35">
        <f t="shared" si="109"/>
        <v>-45444.168999999994</v>
      </c>
      <c r="AJ110" s="35">
        <f t="shared" si="109"/>
        <v>-49892.676000000007</v>
      </c>
      <c r="AK110" s="35">
        <f t="shared" si="109"/>
        <v>-53787.843000000008</v>
      </c>
      <c r="AL110" s="35">
        <f t="shared" si="109"/>
        <v>-56218.094000000005</v>
      </c>
      <c r="AM110" s="35">
        <f t="shared" ref="AM110:AY110" si="111">SUM(AM107:AM108)-AM109</f>
        <v>-4878.6342109999996</v>
      </c>
      <c r="AN110" s="35">
        <f t="shared" si="111"/>
        <v>-10563.594000000001</v>
      </c>
      <c r="AO110" s="35">
        <f t="shared" si="111"/>
        <v>-15949.579210999998</v>
      </c>
      <c r="AP110" s="35">
        <f t="shared" si="111"/>
        <v>-20164.797211000001</v>
      </c>
      <c r="AQ110" s="35">
        <f t="shared" si="111"/>
        <v>-23811.903210999997</v>
      </c>
      <c r="AR110" s="35">
        <f t="shared" si="111"/>
        <v>-28537.881211</v>
      </c>
      <c r="AS110" s="35">
        <f t="shared" si="111"/>
        <v>-34094.029211000008</v>
      </c>
      <c r="AT110" s="35">
        <f t="shared" si="111"/>
        <v>-37810.361211000003</v>
      </c>
      <c r="AU110" s="35">
        <f t="shared" si="111"/>
        <v>-41076.014211000002</v>
      </c>
      <c r="AV110" s="35">
        <f t="shared" si="111"/>
        <v>-45150.222211</v>
      </c>
      <c r="AW110" s="35">
        <f t="shared" si="111"/>
        <v>-48576.736211000003</v>
      </c>
      <c r="AX110" s="35">
        <f t="shared" si="111"/>
        <v>-51060.589830999998</v>
      </c>
      <c r="AY110" s="35">
        <f t="shared" si="111"/>
        <v>-51629.663211000006</v>
      </c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</row>
    <row r="111" spans="1:76" s="30" customFormat="1" hidden="1" outlineLevel="1">
      <c r="A111" s="24"/>
      <c r="B111" s="38" t="s">
        <v>12</v>
      </c>
      <c r="C111" s="36">
        <f>C110</f>
        <v>-4355.7452599999997</v>
      </c>
      <c r="D111" s="36">
        <f>D110</f>
        <v>-10730.60908</v>
      </c>
      <c r="E111" s="36">
        <f>E110</f>
        <v>-17280.407779999998</v>
      </c>
      <c r="F111" s="35">
        <f t="shared" ref="F111:N111" si="112">F110-C110</f>
        <v>-17094.222020000001</v>
      </c>
      <c r="G111" s="35">
        <f t="shared" si="112"/>
        <v>10730.60908</v>
      </c>
      <c r="H111" s="35">
        <f t="shared" si="112"/>
        <v>17280.407779999998</v>
      </c>
      <c r="I111" s="35">
        <f t="shared" si="112"/>
        <v>21449.967280000001</v>
      </c>
      <c r="J111" s="35">
        <f t="shared" si="112"/>
        <v>0</v>
      </c>
      <c r="K111" s="35">
        <f t="shared" si="112"/>
        <v>0</v>
      </c>
      <c r="L111" s="35">
        <f t="shared" si="112"/>
        <v>0</v>
      </c>
      <c r="M111" s="35">
        <f t="shared" si="112"/>
        <v>0</v>
      </c>
      <c r="N111" s="35">
        <f t="shared" si="112"/>
        <v>0</v>
      </c>
      <c r="O111" s="36">
        <f>O110</f>
        <v>-4329.4659799999999</v>
      </c>
      <c r="P111" s="36">
        <f>P110</f>
        <v>-10704.329800000001</v>
      </c>
      <c r="Q111" s="36">
        <f>Q110</f>
        <v>-17280.407779999998</v>
      </c>
      <c r="R111" s="35">
        <f t="shared" ref="R111" si="113">R110-O110</f>
        <v>-17615.690399999999</v>
      </c>
      <c r="S111" s="35">
        <f t="shared" ref="S111" si="114">S110-P110</f>
        <v>-15961.503579999999</v>
      </c>
      <c r="T111" s="35">
        <f t="shared" ref="T111" si="115">T110-Q110</f>
        <v>-14951.025600000001</v>
      </c>
      <c r="U111" s="35">
        <f t="shared" ref="U111" si="116">U110-R110</f>
        <v>-15718.966999999997</v>
      </c>
      <c r="V111" s="35">
        <f t="shared" ref="V111" si="117">V110-S110</f>
        <v>-15690.599999999995</v>
      </c>
      <c r="W111" s="35">
        <f t="shared" ref="W111" si="118">W110-T110</f>
        <v>-15778.09</v>
      </c>
      <c r="X111" s="35">
        <f t="shared" ref="X111" si="119">X110-U110</f>
        <v>-15293.560000000005</v>
      </c>
      <c r="Y111" s="35">
        <f t="shared" ref="Y111" si="120">Y110-V110</f>
        <v>-14438.169999999998</v>
      </c>
      <c r="Z111" s="35">
        <f t="shared" ref="Z111" si="121">Z110-W110</f>
        <v>-11501.414000000004</v>
      </c>
      <c r="AA111" s="36">
        <f>AA110</f>
        <v>-4374.5990000000011</v>
      </c>
      <c r="AB111" s="36">
        <f>AB110</f>
        <v>-9273.4530000000013</v>
      </c>
      <c r="AC111" s="36">
        <f>AC110</f>
        <v>-14662.092999999999</v>
      </c>
      <c r="AD111" s="35">
        <f t="shared" ref="AD111:AL111" si="122">AD110-AA110</f>
        <v>-16270.737999999998</v>
      </c>
      <c r="AE111" s="35">
        <f t="shared" si="122"/>
        <v>-16063.913</v>
      </c>
      <c r="AF111" s="35">
        <f t="shared" si="122"/>
        <v>-15619.414999999999</v>
      </c>
      <c r="AG111" s="35">
        <f t="shared" si="122"/>
        <v>-15227.204999999994</v>
      </c>
      <c r="AH111" s="35">
        <f t="shared" si="122"/>
        <v>-14664.667999999991</v>
      </c>
      <c r="AI111" s="35">
        <f t="shared" si="122"/>
        <v>-15162.660999999996</v>
      </c>
      <c r="AJ111" s="35">
        <f t="shared" si="122"/>
        <v>-14020.134000000013</v>
      </c>
      <c r="AK111" s="35">
        <f t="shared" si="122"/>
        <v>-13785.809000000016</v>
      </c>
      <c r="AL111" s="35">
        <f t="shared" si="122"/>
        <v>-10773.92500000001</v>
      </c>
      <c r="AM111" s="36">
        <f>AM110</f>
        <v>-4878.6342109999996</v>
      </c>
      <c r="AN111" s="36">
        <f>AN110</f>
        <v>-10563.594000000001</v>
      </c>
      <c r="AO111" s="36">
        <f>AO110</f>
        <v>-15949.579210999998</v>
      </c>
      <c r="AP111" s="36">
        <f>AP110</f>
        <v>-20164.797211000001</v>
      </c>
      <c r="AQ111" s="35">
        <f t="shared" ref="AQ111" si="123">AQ110-AN110</f>
        <v>-13248.309210999996</v>
      </c>
      <c r="AR111" s="35">
        <f t="shared" ref="AR111" si="124">AR110-AO110</f>
        <v>-12588.302000000001</v>
      </c>
      <c r="AS111" s="35">
        <f t="shared" ref="AS111" si="125">AS110-AP110</f>
        <v>-13929.232000000007</v>
      </c>
      <c r="AT111" s="35">
        <f t="shared" ref="AT111" si="126">AT110-AQ110</f>
        <v>-13998.458000000006</v>
      </c>
      <c r="AU111" s="35">
        <f t="shared" ref="AU111" si="127">AU110-AR110</f>
        <v>-12538.133000000002</v>
      </c>
      <c r="AV111" s="35">
        <f t="shared" ref="AV111" si="128">AV110-AS110</f>
        <v>-11056.192999999992</v>
      </c>
      <c r="AW111" s="35">
        <f t="shared" ref="AW111" si="129">AW110-AT110</f>
        <v>-10766.375</v>
      </c>
      <c r="AX111" s="35">
        <f t="shared" ref="AX111" si="130">AX110-AU110</f>
        <v>-9984.575619999996</v>
      </c>
      <c r="AY111" s="37">
        <f>AY110-AU110</f>
        <v>-10553.649000000005</v>
      </c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</row>
    <row r="112" spans="1:76" hidden="1" outlineLevel="1">
      <c r="A112" s="20"/>
      <c r="B112" s="18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</row>
    <row r="113" spans="1:76" hidden="1" outlineLevel="1">
      <c r="A113" s="20"/>
      <c r="B113" s="18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</row>
    <row r="114" spans="1:76" hidden="1" outlineLevel="1">
      <c r="A114" s="18"/>
      <c r="B114" s="18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</row>
    <row r="115" spans="1:76" hidden="1" outlineLevel="1">
      <c r="A115" s="18" t="str">
        <f>_xll.IdPrj.AnalyzerFuncs.AnalyzerOLAPMember("[Account].[Reporting Hierarchy].&amp;[2252]","","R0000 - Net Result","","-524283.-524283.2252","[Account].[Reporting Hierarchy]","000","D0")</f>
        <v>R0000 - Net Result</v>
      </c>
      <c r="B115" s="22" t="str">
        <f>_xll.IdPrj.AnalyzerFuncs.AnalyzerOLAPMember("[Destination].&amp;[13]","","R06 - Direct labor cost","","2.2.13","[Destination]","000","D1")</f>
        <v>R06 - Direct labor cost</v>
      </c>
      <c r="C115" s="33">
        <v>-1858.683</v>
      </c>
      <c r="D115" s="33">
        <v>-4060.482</v>
      </c>
      <c r="E115" s="33">
        <v>-6017.3339999999998</v>
      </c>
      <c r="F115" s="33">
        <v>-8149.29</v>
      </c>
      <c r="G115" s="33"/>
      <c r="H115" s="33"/>
      <c r="I115" s="33"/>
      <c r="J115" s="33"/>
      <c r="K115" s="33"/>
      <c r="L115" s="33"/>
      <c r="M115" s="33"/>
      <c r="N115" s="33"/>
      <c r="O115" s="33">
        <v>-1858.683</v>
      </c>
      <c r="P115" s="33">
        <v>-4060.482</v>
      </c>
      <c r="Q115" s="33">
        <v>-6017.3339999999998</v>
      </c>
      <c r="R115" s="33">
        <v>-8437.5040000000008</v>
      </c>
      <c r="S115" s="33">
        <v>-10905.933999999999</v>
      </c>
      <c r="T115" s="33">
        <v>-13432.464</v>
      </c>
      <c r="U115" s="33">
        <v>-15334.954</v>
      </c>
      <c r="V115" s="33">
        <v>-17207.583999999999</v>
      </c>
      <c r="W115" s="33">
        <v>-19513.114000000001</v>
      </c>
      <c r="X115" s="33">
        <v>-21598.853999999999</v>
      </c>
      <c r="Y115" s="33">
        <v>-23703.144</v>
      </c>
      <c r="Z115" s="33">
        <v>-24818.923999999999</v>
      </c>
      <c r="AA115" s="33">
        <v>-1863.35</v>
      </c>
      <c r="AB115" s="33">
        <v>-4218.1620000000003</v>
      </c>
      <c r="AC115" s="33">
        <v>-6827.8410000000003</v>
      </c>
      <c r="AD115" s="33">
        <v>-9450.8060000000005</v>
      </c>
      <c r="AE115" s="33">
        <v>-11808.796</v>
      </c>
      <c r="AF115" s="33">
        <v>-14420.758</v>
      </c>
      <c r="AG115" s="33">
        <v>-16503.057000000001</v>
      </c>
      <c r="AH115" s="33">
        <v>-18484.955000000002</v>
      </c>
      <c r="AI115" s="33">
        <v>-20792.534</v>
      </c>
      <c r="AJ115" s="33">
        <v>-22781.375</v>
      </c>
      <c r="AK115" s="33">
        <v>-24831.137999999999</v>
      </c>
      <c r="AL115" s="33">
        <v>-26084.079000000002</v>
      </c>
      <c r="AM115" s="33">
        <v>-1834.0519999999999</v>
      </c>
      <c r="AN115" s="33">
        <v>-4208.8919999999998</v>
      </c>
      <c r="AO115" s="33">
        <v>-6436.192</v>
      </c>
      <c r="AP115" s="33">
        <v>-8395.7970000000005</v>
      </c>
      <c r="AQ115" s="33">
        <v>-10399.596</v>
      </c>
      <c r="AR115" s="33">
        <v>-12729.957</v>
      </c>
      <c r="AS115" s="33">
        <v>-14800.495999999999</v>
      </c>
      <c r="AT115" s="33">
        <v>-16634.213</v>
      </c>
      <c r="AU115" s="33">
        <v>-18757.771000000001</v>
      </c>
      <c r="AV115" s="33">
        <v>-20637.312000000002</v>
      </c>
      <c r="AW115" s="33">
        <v>-22466.607</v>
      </c>
      <c r="AX115" s="33">
        <v>-24041.458999999999</v>
      </c>
      <c r="AY115" s="33">
        <v>-24084.471000000001</v>
      </c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</row>
    <row r="116" spans="1:76" hidden="1" outlineLevel="1">
      <c r="A116" s="18"/>
      <c r="B116" s="23" t="str">
        <f>_xll.IdPrj.AnalyzerFuncs.AnalyzerOLAPMember("[Destination].&amp;[4]","","R15 - Other manufacturing costs","","2.2.4","[Destination]","000","D1")</f>
        <v>R15 - Other manufacturing costs</v>
      </c>
      <c r="C116" s="33">
        <v>-1599.3530000000001</v>
      </c>
      <c r="D116" s="33">
        <v>-3268.3420000000001</v>
      </c>
      <c r="E116" s="33">
        <v>-4848.3209999999999</v>
      </c>
      <c r="F116" s="33">
        <v>-6191.7359999999999</v>
      </c>
      <c r="G116" s="33"/>
      <c r="H116" s="33"/>
      <c r="I116" s="33"/>
      <c r="J116" s="33"/>
      <c r="K116" s="33"/>
      <c r="L116" s="33"/>
      <c r="M116" s="33"/>
      <c r="N116" s="33"/>
      <c r="O116" s="33">
        <v>-1599.3530000000001</v>
      </c>
      <c r="P116" s="33">
        <v>-3268.3420000000001</v>
      </c>
      <c r="Q116" s="33">
        <v>-4848.3209999999999</v>
      </c>
      <c r="R116" s="33">
        <v>-6245.9840000000004</v>
      </c>
      <c r="S116" s="33">
        <v>-7692.4219999999996</v>
      </c>
      <c r="T116" s="33">
        <v>-9126.6990000000005</v>
      </c>
      <c r="U116" s="33">
        <v>-10389.049999999999</v>
      </c>
      <c r="V116" s="33">
        <v>-11576.64</v>
      </c>
      <c r="W116" s="33">
        <v>-12927.482</v>
      </c>
      <c r="X116" s="33">
        <v>-14297.226000000001</v>
      </c>
      <c r="Y116" s="33">
        <v>-15669.668</v>
      </c>
      <c r="Z116" s="33">
        <v>-16978.795999999998</v>
      </c>
      <c r="AA116" s="33">
        <v>-1514.202</v>
      </c>
      <c r="AB116" s="33">
        <v>-3056.395</v>
      </c>
      <c r="AC116" s="33">
        <v>-4679.3050000000003</v>
      </c>
      <c r="AD116" s="33">
        <v>-6157.2640000000001</v>
      </c>
      <c r="AE116" s="33">
        <v>-7694.9210000000003</v>
      </c>
      <c r="AF116" s="33">
        <v>-9206.9709999999995</v>
      </c>
      <c r="AG116" s="33">
        <v>-10483.201999999999</v>
      </c>
      <c r="AH116" s="33">
        <v>-11694.562</v>
      </c>
      <c r="AI116" s="33">
        <v>-13058.254000000001</v>
      </c>
      <c r="AJ116" s="33">
        <v>-14443.317999999999</v>
      </c>
      <c r="AK116" s="33">
        <v>-15831.19</v>
      </c>
      <c r="AL116" s="33">
        <v>-16971.367999999999</v>
      </c>
      <c r="AM116" s="33">
        <v>-1320.84</v>
      </c>
      <c r="AN116" s="33">
        <v>-3402.0859999999998</v>
      </c>
      <c r="AO116" s="33">
        <v>-4982.3490000000002</v>
      </c>
      <c r="AP116" s="33">
        <v>-6436.674</v>
      </c>
      <c r="AQ116" s="33">
        <v>-7909.549</v>
      </c>
      <c r="AR116" s="33">
        <v>-9400.4699999999993</v>
      </c>
      <c r="AS116" s="33">
        <v>-10692.657999999999</v>
      </c>
      <c r="AT116" s="33">
        <v>-11992.557000000001</v>
      </c>
      <c r="AU116" s="33">
        <v>-13409.347</v>
      </c>
      <c r="AV116" s="33">
        <v>-15062.625</v>
      </c>
      <c r="AW116" s="33">
        <v>-16509.263999999999</v>
      </c>
      <c r="AX116" s="33">
        <v>-17892.062999999998</v>
      </c>
      <c r="AY116" s="33">
        <v>-17255.546999999999</v>
      </c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</row>
    <row r="117" spans="1:76" hidden="1" outlineLevel="1">
      <c r="A117" s="18"/>
      <c r="B117" s="22" t="str">
        <f>_xll.IdPrj.AnalyzerFuncs.AnalyzerOLAPMember("[Destination].&amp;[14]","","R07 - Sub-contracting","","2.2.14","[Destination]","000","D1")</f>
        <v>R07 - Sub-contracting</v>
      </c>
      <c r="C117" s="33">
        <v>-217.26300000000001</v>
      </c>
      <c r="D117" s="33">
        <v>-448.16199999999998</v>
      </c>
      <c r="E117" s="33">
        <v>-651.96799999999996</v>
      </c>
      <c r="F117" s="33">
        <v>-917.81200000000001</v>
      </c>
      <c r="G117" s="33"/>
      <c r="H117" s="33"/>
      <c r="I117" s="33"/>
      <c r="J117" s="33"/>
      <c r="K117" s="33"/>
      <c r="L117" s="33"/>
      <c r="M117" s="33"/>
      <c r="N117" s="33"/>
      <c r="O117" s="33">
        <v>-217.26300000000001</v>
      </c>
      <c r="P117" s="33">
        <v>-448.16199999999998</v>
      </c>
      <c r="Q117" s="33">
        <v>-651.96799999999996</v>
      </c>
      <c r="R117" s="33">
        <v>-843.05799999999999</v>
      </c>
      <c r="S117" s="33">
        <v>-1010.098</v>
      </c>
      <c r="T117" s="33">
        <v>-1219.598</v>
      </c>
      <c r="U117" s="33">
        <v>-1390.8679999999999</v>
      </c>
      <c r="V117" s="33">
        <v>-1562.038</v>
      </c>
      <c r="W117" s="33">
        <v>-1760.038</v>
      </c>
      <c r="X117" s="33">
        <v>-1953.8779999999999</v>
      </c>
      <c r="Y117" s="33">
        <v>-2095.6480000000001</v>
      </c>
      <c r="Z117" s="33">
        <v>-2166.9780000000001</v>
      </c>
      <c r="AA117" s="33">
        <v>-136.94999999999999</v>
      </c>
      <c r="AB117" s="33">
        <v>-313.40499999999997</v>
      </c>
      <c r="AC117" s="33">
        <v>-516.22400000000005</v>
      </c>
      <c r="AD117" s="33">
        <v>-727.32399999999996</v>
      </c>
      <c r="AE117" s="33">
        <v>-904.04200000000003</v>
      </c>
      <c r="AF117" s="33">
        <v>-1099.366</v>
      </c>
      <c r="AG117" s="33">
        <v>-1290.6130000000001</v>
      </c>
      <c r="AH117" s="33">
        <v>-1453.0920000000001</v>
      </c>
      <c r="AI117" s="33">
        <v>-1654.9469999999999</v>
      </c>
      <c r="AJ117" s="33">
        <v>-1838.203</v>
      </c>
      <c r="AK117" s="33">
        <v>-1982.6610000000001</v>
      </c>
      <c r="AL117" s="33">
        <v>-2061.6660000000002</v>
      </c>
      <c r="AM117" s="33">
        <v>-288.06799999999998</v>
      </c>
      <c r="AN117" s="33">
        <v>-362.226</v>
      </c>
      <c r="AO117" s="33">
        <v>-565.43499999999995</v>
      </c>
      <c r="AP117" s="33">
        <v>-650.23900000000003</v>
      </c>
      <c r="AQ117" s="33">
        <v>-746.56</v>
      </c>
      <c r="AR117" s="33">
        <v>-866.89200000000005</v>
      </c>
      <c r="AS117" s="33">
        <v>-1001.984</v>
      </c>
      <c r="AT117" s="33">
        <v>-1121.6949999999999</v>
      </c>
      <c r="AU117" s="33">
        <v>-1263.701</v>
      </c>
      <c r="AV117" s="33">
        <v>-1411.5650000000001</v>
      </c>
      <c r="AW117" s="33">
        <v>-1571.787</v>
      </c>
      <c r="AX117" s="33">
        <v>-1631.4849999999999</v>
      </c>
      <c r="AY117" s="33">
        <v>-1749.135</v>
      </c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</row>
    <row r="118" spans="1:76" hidden="1" outlineLevel="1">
      <c r="A118" s="18"/>
      <c r="B118" s="22" t="str">
        <f>_xll.IdPrj.AnalyzerFuncs.AnalyzerOLAPMember("[Destination].&amp;[15]","","R08 - Variation of added-value","","2.2.15","[Destination]","000","D1")</f>
        <v>R08 - Variation of added-value</v>
      </c>
      <c r="C118" s="33">
        <v>222.60900000000001</v>
      </c>
      <c r="D118" s="33">
        <v>414.22199999999998</v>
      </c>
      <c r="E118" s="33">
        <v>144.05199999999999</v>
      </c>
      <c r="F118" s="33">
        <v>-15.085000000000001</v>
      </c>
      <c r="G118" s="33"/>
      <c r="H118" s="33"/>
      <c r="I118" s="33"/>
      <c r="J118" s="33"/>
      <c r="K118" s="33"/>
      <c r="L118" s="33"/>
      <c r="M118" s="33"/>
      <c r="N118" s="33"/>
      <c r="O118" s="33">
        <v>222.60900000000001</v>
      </c>
      <c r="P118" s="33">
        <v>414.22199999999998</v>
      </c>
      <c r="Q118" s="33">
        <v>144.05199999999999</v>
      </c>
      <c r="R118" s="33">
        <v>226.18199999999999</v>
      </c>
      <c r="S118" s="33">
        <v>302.31200000000001</v>
      </c>
      <c r="T118" s="33">
        <v>138.042</v>
      </c>
      <c r="U118" s="33">
        <v>284.50200000000001</v>
      </c>
      <c r="V118" s="33">
        <v>123.962</v>
      </c>
      <c r="W118" s="33">
        <v>65.022000000000006</v>
      </c>
      <c r="X118" s="33">
        <v>-171.518</v>
      </c>
      <c r="Y118" s="33">
        <v>-340.05799999999999</v>
      </c>
      <c r="Z118" s="33">
        <v>-366.99799999999999</v>
      </c>
      <c r="AA118" s="33">
        <v>130.13</v>
      </c>
      <c r="AB118" s="33">
        <v>179.86</v>
      </c>
      <c r="AC118" s="33">
        <v>-10.01</v>
      </c>
      <c r="AD118" s="33">
        <v>-79.88</v>
      </c>
      <c r="AE118" s="33">
        <v>10.25</v>
      </c>
      <c r="AF118" s="33">
        <v>-140.02000000000001</v>
      </c>
      <c r="AG118" s="33">
        <v>53.44</v>
      </c>
      <c r="AH118" s="33">
        <v>-113.1</v>
      </c>
      <c r="AI118" s="33">
        <v>-160.04</v>
      </c>
      <c r="AJ118" s="33">
        <v>-406.58</v>
      </c>
      <c r="AK118" s="33">
        <v>-553.12</v>
      </c>
      <c r="AL118" s="33">
        <v>-580.05999999999995</v>
      </c>
      <c r="AM118" s="33">
        <v>167.30799999999999</v>
      </c>
      <c r="AN118" s="33">
        <v>-101.47</v>
      </c>
      <c r="AO118" s="33">
        <v>-721.42499999999995</v>
      </c>
      <c r="AP118" s="33">
        <v>-969.51800000000003</v>
      </c>
      <c r="AQ118" s="33">
        <v>-841.12400000000002</v>
      </c>
      <c r="AR118" s="33">
        <v>-865.91399999999999</v>
      </c>
      <c r="AS118" s="33">
        <v>-1001.581</v>
      </c>
      <c r="AT118" s="33">
        <v>-1078.51</v>
      </c>
      <c r="AU118" s="33">
        <v>-1568.99</v>
      </c>
      <c r="AV118" s="33">
        <v>-1789.04</v>
      </c>
      <c r="AW118" s="33">
        <v>-1888.6130000000001</v>
      </c>
      <c r="AX118" s="33">
        <v>-2049.3490000000002</v>
      </c>
      <c r="AY118" s="33">
        <v>-1786.99</v>
      </c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</row>
    <row r="119" spans="1:76" s="30" customFormat="1" hidden="1" outlineLevel="1">
      <c r="A119" s="21"/>
      <c r="B119" s="38" t="s">
        <v>11</v>
      </c>
      <c r="C119" s="35">
        <f t="shared" ref="C119:AL119" si="131">SUM(C115:C118)</f>
        <v>-3452.69</v>
      </c>
      <c r="D119" s="35">
        <f t="shared" si="131"/>
        <v>-7362.764000000001</v>
      </c>
      <c r="E119" s="35">
        <f t="shared" si="131"/>
        <v>-11373.571</v>
      </c>
      <c r="F119" s="35">
        <f t="shared" si="131"/>
        <v>-15273.922999999999</v>
      </c>
      <c r="G119" s="35">
        <f t="shared" si="131"/>
        <v>0</v>
      </c>
      <c r="H119" s="35">
        <f t="shared" si="131"/>
        <v>0</v>
      </c>
      <c r="I119" s="35">
        <f t="shared" si="131"/>
        <v>0</v>
      </c>
      <c r="J119" s="35">
        <f t="shared" si="131"/>
        <v>0</v>
      </c>
      <c r="K119" s="35">
        <f t="shared" si="131"/>
        <v>0</v>
      </c>
      <c r="L119" s="35">
        <f t="shared" si="131"/>
        <v>0</v>
      </c>
      <c r="M119" s="35">
        <f t="shared" si="131"/>
        <v>0</v>
      </c>
      <c r="N119" s="35">
        <f t="shared" si="131"/>
        <v>0</v>
      </c>
      <c r="O119" s="35">
        <f t="shared" ref="O119:Z119" si="132">SUM(O115:O118)</f>
        <v>-3452.69</v>
      </c>
      <c r="P119" s="35">
        <f t="shared" si="132"/>
        <v>-7362.764000000001</v>
      </c>
      <c r="Q119" s="35">
        <f t="shared" si="132"/>
        <v>-11373.571</v>
      </c>
      <c r="R119" s="35">
        <f t="shared" si="132"/>
        <v>-15300.364000000001</v>
      </c>
      <c r="S119" s="35">
        <f t="shared" si="132"/>
        <v>-19306.141999999996</v>
      </c>
      <c r="T119" s="35">
        <f t="shared" si="132"/>
        <v>-23640.718999999997</v>
      </c>
      <c r="U119" s="35">
        <f t="shared" si="132"/>
        <v>-26830.37</v>
      </c>
      <c r="V119" s="35">
        <f t="shared" si="132"/>
        <v>-30222.3</v>
      </c>
      <c r="W119" s="35">
        <f t="shared" si="132"/>
        <v>-34135.612000000001</v>
      </c>
      <c r="X119" s="35">
        <f t="shared" si="132"/>
        <v>-38021.475999999995</v>
      </c>
      <c r="Y119" s="35">
        <f t="shared" si="132"/>
        <v>-41808.517999999996</v>
      </c>
      <c r="Z119" s="35">
        <f t="shared" si="132"/>
        <v>-44331.696000000004</v>
      </c>
      <c r="AA119" s="35">
        <f t="shared" si="131"/>
        <v>-3384.3719999999994</v>
      </c>
      <c r="AB119" s="35">
        <f t="shared" si="131"/>
        <v>-7408.1020000000008</v>
      </c>
      <c r="AC119" s="35">
        <f t="shared" si="131"/>
        <v>-12033.380000000001</v>
      </c>
      <c r="AD119" s="35">
        <f t="shared" si="131"/>
        <v>-16415.274000000001</v>
      </c>
      <c r="AE119" s="35">
        <f t="shared" si="131"/>
        <v>-20397.509000000002</v>
      </c>
      <c r="AF119" s="35">
        <f t="shared" si="131"/>
        <v>-24867.115000000002</v>
      </c>
      <c r="AG119" s="35">
        <f t="shared" si="131"/>
        <v>-28223.432000000001</v>
      </c>
      <c r="AH119" s="35">
        <f t="shared" si="131"/>
        <v>-31745.708999999999</v>
      </c>
      <c r="AI119" s="35">
        <f t="shared" si="131"/>
        <v>-35665.775000000001</v>
      </c>
      <c r="AJ119" s="35">
        <f t="shared" si="131"/>
        <v>-39469.476000000002</v>
      </c>
      <c r="AK119" s="35">
        <f t="shared" si="131"/>
        <v>-43198.109000000004</v>
      </c>
      <c r="AL119" s="35">
        <f t="shared" si="131"/>
        <v>-45697.172999999995</v>
      </c>
      <c r="AM119" s="35">
        <f t="shared" ref="AM119:AY119" si="133">SUM(AM115:AM118)</f>
        <v>-3275.652</v>
      </c>
      <c r="AN119" s="35">
        <f t="shared" si="133"/>
        <v>-8074.6739999999991</v>
      </c>
      <c r="AO119" s="35">
        <f t="shared" si="133"/>
        <v>-12705.401</v>
      </c>
      <c r="AP119" s="35">
        <f t="shared" si="133"/>
        <v>-16452.228000000003</v>
      </c>
      <c r="AQ119" s="35">
        <f t="shared" si="133"/>
        <v>-19896.829000000002</v>
      </c>
      <c r="AR119" s="35">
        <f t="shared" si="133"/>
        <v>-23863.233</v>
      </c>
      <c r="AS119" s="35">
        <f t="shared" si="133"/>
        <v>-27496.718999999997</v>
      </c>
      <c r="AT119" s="35">
        <f t="shared" si="133"/>
        <v>-30826.974999999999</v>
      </c>
      <c r="AU119" s="35">
        <f t="shared" si="133"/>
        <v>-34999.809000000001</v>
      </c>
      <c r="AV119" s="35">
        <f t="shared" si="133"/>
        <v>-38900.542000000009</v>
      </c>
      <c r="AW119" s="35">
        <f t="shared" si="133"/>
        <v>-42436.270999999993</v>
      </c>
      <c r="AX119" s="35">
        <f t="shared" si="133"/>
        <v>-45614.356</v>
      </c>
      <c r="AY119" s="35">
        <f t="shared" si="133"/>
        <v>-44876.142999999996</v>
      </c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</row>
    <row r="120" spans="1:76" s="30" customFormat="1" hidden="1" outlineLevel="1">
      <c r="A120" s="21"/>
      <c r="B120" s="38" t="s">
        <v>10</v>
      </c>
      <c r="C120" s="36">
        <f>C119</f>
        <v>-3452.69</v>
      </c>
      <c r="D120" s="36">
        <f>D119</f>
        <v>-7362.764000000001</v>
      </c>
      <c r="E120" s="36">
        <f>E119</f>
        <v>-11373.571</v>
      </c>
      <c r="F120" s="35">
        <f t="shared" ref="F120:N120" si="134">F119-C119</f>
        <v>-11821.232999999998</v>
      </c>
      <c r="G120" s="35">
        <f t="shared" si="134"/>
        <v>7362.764000000001</v>
      </c>
      <c r="H120" s="35">
        <f t="shared" si="134"/>
        <v>11373.571</v>
      </c>
      <c r="I120" s="35">
        <f t="shared" si="134"/>
        <v>15273.922999999999</v>
      </c>
      <c r="J120" s="35">
        <f t="shared" si="134"/>
        <v>0</v>
      </c>
      <c r="K120" s="35">
        <f t="shared" si="134"/>
        <v>0</v>
      </c>
      <c r="L120" s="35">
        <f t="shared" si="134"/>
        <v>0</v>
      </c>
      <c r="M120" s="35">
        <f t="shared" si="134"/>
        <v>0</v>
      </c>
      <c r="N120" s="35">
        <f t="shared" si="134"/>
        <v>0</v>
      </c>
      <c r="O120" s="36">
        <f>O119</f>
        <v>-3452.69</v>
      </c>
      <c r="P120" s="36">
        <f>P119</f>
        <v>-7362.764000000001</v>
      </c>
      <c r="Q120" s="36">
        <f>Q119</f>
        <v>-11373.571</v>
      </c>
      <c r="R120" s="35">
        <f t="shared" ref="R120" si="135">R119-O119</f>
        <v>-11847.674000000001</v>
      </c>
      <c r="S120" s="35">
        <f t="shared" ref="S120" si="136">S119-P119</f>
        <v>-11943.377999999995</v>
      </c>
      <c r="T120" s="35">
        <f t="shared" ref="T120" si="137">T119-Q119</f>
        <v>-12267.147999999997</v>
      </c>
      <c r="U120" s="35">
        <f t="shared" ref="U120" si="138">U119-R119</f>
        <v>-11530.005999999998</v>
      </c>
      <c r="V120" s="35">
        <f t="shared" ref="V120" si="139">V119-S119</f>
        <v>-10916.158000000003</v>
      </c>
      <c r="W120" s="35">
        <f t="shared" ref="W120" si="140">W119-T119</f>
        <v>-10494.893000000004</v>
      </c>
      <c r="X120" s="35">
        <f t="shared" ref="X120" si="141">X119-U119</f>
        <v>-11191.105999999996</v>
      </c>
      <c r="Y120" s="35">
        <f t="shared" ref="Y120" si="142">Y119-V119</f>
        <v>-11586.217999999997</v>
      </c>
      <c r="Z120" s="35">
        <f t="shared" ref="Z120" si="143">Z119-W119</f>
        <v>-10196.084000000003</v>
      </c>
      <c r="AA120" s="36">
        <f>AA119</f>
        <v>-3384.3719999999994</v>
      </c>
      <c r="AB120" s="36">
        <f>AB119</f>
        <v>-7408.1020000000008</v>
      </c>
      <c r="AC120" s="36">
        <f>AC119</f>
        <v>-12033.380000000001</v>
      </c>
      <c r="AD120" s="35">
        <f t="shared" ref="AD120:AL120" si="144">AD119-AA119</f>
        <v>-13030.902000000002</v>
      </c>
      <c r="AE120" s="35">
        <f t="shared" si="144"/>
        <v>-12989.407000000001</v>
      </c>
      <c r="AF120" s="35">
        <f t="shared" si="144"/>
        <v>-12833.735000000001</v>
      </c>
      <c r="AG120" s="35">
        <f t="shared" si="144"/>
        <v>-11808.157999999999</v>
      </c>
      <c r="AH120" s="35">
        <f t="shared" si="144"/>
        <v>-11348.199999999997</v>
      </c>
      <c r="AI120" s="35">
        <f t="shared" si="144"/>
        <v>-10798.66</v>
      </c>
      <c r="AJ120" s="35">
        <f t="shared" si="144"/>
        <v>-11246.044000000002</v>
      </c>
      <c r="AK120" s="35">
        <f t="shared" si="144"/>
        <v>-11452.400000000005</v>
      </c>
      <c r="AL120" s="35">
        <f t="shared" si="144"/>
        <v>-10031.397999999994</v>
      </c>
      <c r="AM120" s="36">
        <f>AM119</f>
        <v>-3275.652</v>
      </c>
      <c r="AN120" s="36">
        <f>AN119</f>
        <v>-8074.6739999999991</v>
      </c>
      <c r="AO120" s="36">
        <f>AO119</f>
        <v>-12705.401</v>
      </c>
      <c r="AP120" s="36">
        <f>AP119</f>
        <v>-16452.228000000003</v>
      </c>
      <c r="AQ120" s="35">
        <f t="shared" ref="AQ120" si="145">AQ119-AN119</f>
        <v>-11822.155000000002</v>
      </c>
      <c r="AR120" s="35">
        <f t="shared" ref="AR120" si="146">AR119-AO119</f>
        <v>-11157.832</v>
      </c>
      <c r="AS120" s="35">
        <f t="shared" ref="AS120" si="147">AS119-AP119</f>
        <v>-11044.490999999995</v>
      </c>
      <c r="AT120" s="35">
        <f t="shared" ref="AT120" si="148">AT119-AQ119</f>
        <v>-10930.145999999997</v>
      </c>
      <c r="AU120" s="35">
        <f t="shared" ref="AU120" si="149">AU119-AR119</f>
        <v>-11136.576000000001</v>
      </c>
      <c r="AV120" s="35">
        <f t="shared" ref="AV120" si="150">AV119-AS119</f>
        <v>-11403.823000000011</v>
      </c>
      <c r="AW120" s="35">
        <f t="shared" ref="AW120" si="151">AW119-AT119</f>
        <v>-11609.295999999995</v>
      </c>
      <c r="AX120" s="35">
        <f t="shared" ref="AX120" si="152">AX119-AU119</f>
        <v>-10614.546999999999</v>
      </c>
      <c r="AY120" s="37">
        <f>AY119-AU119</f>
        <v>-9876.3339999999953</v>
      </c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</row>
    <row r="121" spans="1:76" hidden="1" outlineLevel="1">
      <c r="A121" s="18"/>
      <c r="B121" s="18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</row>
    <row r="122" spans="1:76" hidden="1" outlineLevel="1">
      <c r="A122" s="18"/>
      <c r="B122" s="18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</row>
    <row r="123" spans="1:76" hidden="1" outlineLevel="1">
      <c r="A123" s="18"/>
      <c r="B123" s="18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</row>
    <row r="124" spans="1:76" hidden="1" outlineLevel="1">
      <c r="A124" s="18"/>
      <c r="B124" s="18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</row>
    <row r="125" spans="1:76" hidden="1" outlineLevel="1">
      <c r="A125" s="18"/>
      <c r="B125" s="18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</row>
    <row r="126" spans="1:76" hidden="1" outlineLevel="1">
      <c r="A126" s="18"/>
      <c r="B126" s="18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</row>
    <row r="127" spans="1:76" collapsed="1">
      <c r="A127" s="18"/>
      <c r="B127" s="18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</row>
    <row r="128" spans="1:76">
      <c r="A128" s="18"/>
      <c r="B128" s="18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</row>
  </sheetData>
  <pageMargins left="0.15748031496062992" right="0.15748031496062992" top="0.23622047244094491" bottom="0.78740157480314965" header="0.15748031496062992" footer="0.15748031496062992"/>
  <pageSetup paperSize="9" scale="29" orientation="landscape" r:id="rId1"/>
  <headerFooter>
    <oddFooter>&amp;L&amp;F&amp;C&amp;P/&amp;N&amp;R&amp;D-&amp;T</oddFooter>
  </headerFooter>
  <drawing r:id="rId2"/>
  <legacyDrawing r:id="rId3"/>
  <controls>
    <mc:AlternateContent xmlns:mc="http://schemas.openxmlformats.org/markup-compatibility/2006">
      <mc:Choice Requires="x14">
        <control shapeId="9226" r:id="rId4" name="AnalyzerConnectionInfo">
          <controlPr defaultSize="0" autoLine="0" r:id="rId5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6" r:id="rId4" name="AnalyzerConnectionInfo"/>
      </mc:Fallback>
    </mc:AlternateContent>
    <mc:AlternateContent xmlns:mc="http://schemas.openxmlformats.org/markup-compatibility/2006">
      <mc:Choice Requires="x14">
        <control shapeId="9225" r:id="rId6" name="AnalyzerDynSheetInfo">
          <controlPr defaultSize="0" autoLine="0" r:id="rId7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5" r:id="rId6" name="AnalyzerDynSheetInfo"/>
      </mc:Fallback>
    </mc:AlternateContent>
    <mc:AlternateContent xmlns:mc="http://schemas.openxmlformats.org/markup-compatibility/2006">
      <mc:Choice Requires="x14">
        <control shapeId="9224" r:id="rId8" name="AnalyzerDynReport000">
          <controlPr defaultSize="0" autoLine="0" r:id="rId9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4" r:id="rId8" name="AnalyzerDynReport000"/>
      </mc:Fallback>
    </mc:AlternateContent>
    <mc:AlternateContent xmlns:mc="http://schemas.openxmlformats.org/markup-compatibility/2006">
      <mc:Choice Requires="x14">
        <control shapeId="9223" r:id="rId10" name="AnalyzerDynAcrossAxis000">
          <controlPr defaultSize="0" autoLine="0" r:id="rId11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3" r:id="rId10" name="AnalyzerDynAcrossAxis000"/>
      </mc:Fallback>
    </mc:AlternateContent>
    <mc:AlternateContent xmlns:mc="http://schemas.openxmlformats.org/markup-compatibility/2006">
      <mc:Choice Requires="x14">
        <control shapeId="9222" r:id="rId12" name="AnalyzerDynDownAxis000">
          <controlPr defaultSize="0" autoLine="0" r:id="rId13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2" r:id="rId12" name="AnalyzerDynDownAxis000"/>
      </mc:Fallback>
    </mc:AlternateContent>
    <mc:AlternateContent xmlns:mc="http://schemas.openxmlformats.org/markup-compatibility/2006">
      <mc:Choice Requires="x14">
        <control shapeId="9221" r:id="rId14" name="AnalyzerPageHeaders000">
          <controlPr defaultSize="0" autoLine="0" r:id="rId15">
            <anchor moveWithCells="1">
              <from>
                <xdr:col>1</xdr:col>
                <xdr:colOff>2057400</xdr:colOff>
                <xdr:row>3</xdr:row>
                <xdr:rowOff>142875</xdr:rowOff>
              </from>
              <to>
                <xdr:col>1</xdr:col>
                <xdr:colOff>2066925</xdr:colOff>
                <xdr:row>3</xdr:row>
                <xdr:rowOff>152400</xdr:rowOff>
              </to>
            </anchor>
          </controlPr>
        </control>
      </mc:Choice>
      <mc:Fallback>
        <control shapeId="9221" r:id="rId14" name="AnalyzerPageHeaders00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H147"/>
  <sheetViews>
    <sheetView showGridLines="0" tabSelected="1" zoomScale="75" zoomScaleNormal="75" workbookViewId="0">
      <pane xSplit="4" ySplit="15" topLeftCell="H16" activePane="bottomRight" state="frozen"/>
      <selection pane="topRight" activeCell="E1" sqref="E1"/>
      <selection pane="bottomLeft" activeCell="A16" sqref="A16"/>
      <selection pane="bottomRight" activeCell="BE18" sqref="BE18"/>
    </sheetView>
  </sheetViews>
  <sheetFormatPr defaultColWidth="9.140625" defaultRowHeight="15" outlineLevelRow="1" outlineLevelCol="1"/>
  <cols>
    <col min="1" max="1" width="53.7109375" style="100" hidden="1" customWidth="1" outlineLevel="1"/>
    <col min="2" max="2" width="6.140625" style="100" customWidth="1" collapsed="1"/>
    <col min="3" max="3" width="6.5703125" style="100" customWidth="1"/>
    <col min="4" max="4" width="34.5703125" style="100" customWidth="1"/>
    <col min="5" max="7" width="13.7109375" style="100" hidden="1" customWidth="1" outlineLevel="1"/>
    <col min="8" max="8" width="13.7109375" style="100" customWidth="1" collapsed="1"/>
    <col min="9" max="19" width="13.7109375" style="100" hidden="1" customWidth="1" outlineLevel="1"/>
    <col min="20" max="20" width="13.7109375" style="100" customWidth="1" collapsed="1"/>
    <col min="21" max="27" width="13.7109375" style="100" hidden="1" customWidth="1" outlineLevel="1"/>
    <col min="28" max="28" width="13.7109375" style="100" customWidth="1" collapsed="1"/>
    <col min="29" max="31" width="13.7109375" style="100" hidden="1" customWidth="1" outlineLevel="1"/>
    <col min="32" max="32" width="13.7109375" style="100" customWidth="1" collapsed="1"/>
    <col min="33" max="39" width="13.7109375" style="100" hidden="1" customWidth="1" outlineLevel="1"/>
    <col min="40" max="40" width="13.7109375" style="100" customWidth="1" collapsed="1"/>
    <col min="41" max="43" width="13.7109375" style="100" hidden="1" customWidth="1" outlineLevel="1"/>
    <col min="44" max="44" width="13.7109375" style="100" customWidth="1" collapsed="1"/>
    <col min="45" max="51" width="13.7109375" style="100" hidden="1" customWidth="1" outlineLevel="1"/>
    <col min="52" max="52" width="13.7109375" style="100" customWidth="1" collapsed="1"/>
    <col min="53" max="53" width="13.7109375" style="100" hidden="1" customWidth="1" outlineLevel="1"/>
    <col min="54" max="54" width="9" style="100" customWidth="1" collapsed="1"/>
    <col min="55" max="16384" width="9.140625" style="100"/>
  </cols>
  <sheetData>
    <row r="1" spans="1:53" s="147" customFormat="1" ht="21">
      <c r="A1" s="25" t="str">
        <f>_xll.IdPrj.AnalyzerFuncs.AnalyzerOLAPMember(P,"","2013.12","","-524281.-524281.29720576","[Period]","000","H")</f>
        <v>2013.12</v>
      </c>
      <c r="D1" s="153" t="str">
        <f t="shared" ref="D1:D7" si="0">A1</f>
        <v>2013.12</v>
      </c>
      <c r="E1" s="156"/>
      <c r="F1" s="156"/>
      <c r="G1" s="156"/>
      <c r="H1" s="158"/>
      <c r="I1" s="157"/>
      <c r="J1" s="157"/>
      <c r="K1" s="157"/>
      <c r="L1" s="157"/>
      <c r="M1" s="157"/>
      <c r="N1" s="157"/>
      <c r="O1" s="157"/>
      <c r="P1" s="157"/>
      <c r="AO1" s="156"/>
      <c r="AP1" s="156"/>
      <c r="AQ1" s="156"/>
      <c r="AR1" s="158"/>
      <c r="AS1" s="157"/>
      <c r="AT1" s="157"/>
      <c r="AU1" s="157"/>
      <c r="AV1" s="157"/>
      <c r="AW1" s="157"/>
      <c r="AX1" s="157"/>
      <c r="AY1" s="157"/>
      <c r="AZ1" s="157"/>
      <c r="BA1" s="157"/>
    </row>
    <row r="2" spans="1:53" s="147" customFormat="1" ht="21">
      <c r="A2" s="25" t="str">
        <f>_xll.IdPrj.AnalyzerFuncs.AnalyzerOLAPMember(VA,"","DEF","","AllIdent","[X01 - Variant]","000","H")</f>
        <v>DEF</v>
      </c>
      <c r="D2" s="153" t="str">
        <f t="shared" si="0"/>
        <v>DEF</v>
      </c>
      <c r="E2" s="156"/>
      <c r="F2" s="156"/>
      <c r="G2" s="156"/>
      <c r="H2" s="158"/>
      <c r="I2" s="157"/>
      <c r="J2" s="157"/>
      <c r="K2" s="157"/>
      <c r="L2" s="157"/>
      <c r="M2" s="157"/>
      <c r="N2" s="157"/>
      <c r="O2" s="157"/>
      <c r="P2" s="157"/>
      <c r="AO2" s="156"/>
      <c r="AP2" s="156"/>
      <c r="AQ2" s="156"/>
      <c r="AR2" s="158"/>
      <c r="AS2" s="157"/>
      <c r="AT2" s="157"/>
      <c r="AU2" s="157"/>
      <c r="AV2" s="157"/>
      <c r="AW2" s="157"/>
      <c r="AX2" s="157"/>
      <c r="AY2" s="157"/>
      <c r="AZ2" s="157"/>
      <c r="BA2" s="157"/>
    </row>
    <row r="3" spans="1:53" s="147" customFormat="1" ht="21">
      <c r="A3" s="25" t="str">
        <f>_xll.IdPrj.AnalyzerFuncs.AnalyzerOLAPMember(U,"","BU00 - Business Unit West","","-524285.-524285.2","[Historized Scope]","000","H")</f>
        <v>BU00 - Business Unit West</v>
      </c>
      <c r="D3" s="153" t="str">
        <f t="shared" si="0"/>
        <v>BU00 - Business Unit West</v>
      </c>
      <c r="E3" s="156"/>
      <c r="F3" s="156"/>
      <c r="G3" s="156"/>
      <c r="H3" s="158"/>
      <c r="I3" s="157"/>
      <c r="J3" s="157"/>
      <c r="K3" s="157"/>
      <c r="L3" s="157"/>
      <c r="M3" s="157"/>
      <c r="N3" s="157"/>
      <c r="O3" s="157"/>
      <c r="P3" s="157"/>
      <c r="AO3" s="156"/>
      <c r="AP3" s="156"/>
      <c r="AQ3" s="156"/>
      <c r="AR3" s="158"/>
      <c r="AS3" s="157"/>
      <c r="AT3" s="157"/>
      <c r="AU3" s="157"/>
      <c r="AV3" s="157"/>
      <c r="AW3" s="157"/>
      <c r="AX3" s="157"/>
      <c r="AY3" s="157"/>
      <c r="AZ3" s="157"/>
      <c r="BA3" s="157"/>
    </row>
    <row r="4" spans="1:53" s="147" customFormat="1" ht="21">
      <c r="A4" s="25" t="str">
        <f>_xll.IdPrj.AnalyzerFuncs.AnalyzerOLAPMember(ELI,"","CONS_DIV_LVL - Consolidated at Divisional level","","-1.-1.5","[Elimination]","000","H")</f>
        <v>CONS_DIV_LVL - Consolidated at Divisional level</v>
      </c>
      <c r="D4" s="153" t="str">
        <f t="shared" si="0"/>
        <v>CONS_DIV_LVL - Consolidated at Divisional level</v>
      </c>
      <c r="E4" s="156"/>
      <c r="F4" s="156"/>
      <c r="G4" s="156"/>
      <c r="H4" s="155"/>
      <c r="I4" s="154"/>
      <c r="J4" s="154"/>
      <c r="K4" s="154"/>
      <c r="L4" s="154"/>
      <c r="M4" s="154"/>
      <c r="N4" s="154"/>
      <c r="O4" s="154"/>
      <c r="P4" s="154"/>
      <c r="AO4" s="156"/>
      <c r="AP4" s="156"/>
      <c r="AQ4" s="156"/>
      <c r="AR4" s="155"/>
      <c r="AS4" s="154"/>
      <c r="AT4" s="154"/>
      <c r="AU4" s="154"/>
      <c r="AV4" s="154"/>
      <c r="AW4" s="154"/>
      <c r="AX4" s="154"/>
      <c r="AY4" s="154"/>
      <c r="AZ4" s="154"/>
      <c r="BA4" s="154"/>
    </row>
    <row r="5" spans="1:53" s="147" customFormat="1" ht="21">
      <c r="A5" s="25" t="str">
        <f>_xll.IdPrj.AnalyzerFuncs.AnalyzerOLAPMember(VE,"","All","","AllIdent","[Version]","000","H")</f>
        <v>All</v>
      </c>
      <c r="D5" s="153" t="str">
        <f t="shared" si="0"/>
        <v>All</v>
      </c>
      <c r="E5" s="156"/>
      <c r="F5" s="156"/>
      <c r="G5" s="156"/>
      <c r="H5" s="155"/>
      <c r="I5" s="154"/>
      <c r="J5" s="154"/>
      <c r="K5" s="154"/>
      <c r="L5" s="154"/>
      <c r="M5" s="154"/>
      <c r="N5" s="154"/>
      <c r="O5" s="154"/>
      <c r="P5" s="154"/>
      <c r="AO5" s="156"/>
      <c r="AP5" s="156"/>
      <c r="AQ5" s="156"/>
      <c r="AR5" s="155"/>
      <c r="AS5" s="154"/>
      <c r="AT5" s="154"/>
      <c r="AU5" s="154"/>
      <c r="AV5" s="154"/>
      <c r="AW5" s="154"/>
      <c r="AX5" s="154"/>
      <c r="AY5" s="154"/>
      <c r="AZ5" s="154"/>
      <c r="BA5" s="154"/>
    </row>
    <row r="6" spans="1:53" ht="21">
      <c r="A6" s="25" t="str">
        <f>_xll.IdPrj.AnalyzerFuncs.AnalyzerOLAPMember(M,"","Consolidated Amount in K€","","Consolidated Amount in K€","[Measures]","000","H")</f>
        <v>Consolidated Amount in K€</v>
      </c>
      <c r="D6" s="153" t="str">
        <f t="shared" si="0"/>
        <v>Consolidated Amount in K€</v>
      </c>
    </row>
    <row r="7" spans="1:53" ht="11.25" customHeight="1">
      <c r="A7" s="25" t="s">
        <v>6</v>
      </c>
      <c r="C7" s="15" t="s">
        <v>6</v>
      </c>
      <c r="D7" s="153" t="str">
        <f t="shared" si="0"/>
        <v/>
      </c>
    </row>
    <row r="8" spans="1:53" ht="6.75" customHeight="1" thickBot="1"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</row>
    <row r="9" spans="1:53" ht="24" thickBot="1">
      <c r="E9" s="161" t="s">
        <v>122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3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61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</row>
    <row r="10" spans="1:53" ht="17.25" customHeight="1">
      <c r="E10" s="152"/>
      <c r="F10" s="152"/>
      <c r="G10" s="152"/>
      <c r="H10" s="152"/>
      <c r="I10" s="152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52"/>
      <c r="AP10" s="152"/>
      <c r="AQ10" s="152"/>
      <c r="AR10" s="152"/>
      <c r="AS10" s="152"/>
      <c r="AT10" s="134"/>
      <c r="AU10" s="135"/>
      <c r="AV10" s="135"/>
      <c r="AW10" s="135"/>
      <c r="AX10" s="135"/>
      <c r="AY10" s="135"/>
      <c r="AZ10" s="135"/>
      <c r="BA10" s="134"/>
    </row>
    <row r="11" spans="1:53" ht="15.75">
      <c r="J11" s="14"/>
      <c r="K11" s="14"/>
      <c r="L11" s="14"/>
      <c r="M11" s="14"/>
      <c r="N11" s="14"/>
      <c r="O11" s="14"/>
      <c r="P11" s="13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T11" s="14"/>
      <c r="AU11" s="14"/>
      <c r="AV11" s="14"/>
      <c r="AW11" s="14"/>
      <c r="AX11" s="14"/>
      <c r="AY11" s="14"/>
      <c r="AZ11" s="134"/>
      <c r="BA11" s="14"/>
    </row>
    <row r="12" spans="1:53" s="147" customFormat="1" outlineLevel="1">
      <c r="E12" s="147" t="str">
        <f>_xll.IdPrj.AnalyzerFuncs.AnalyzerOLAPMember("[Consolidations].[ACTUAL YTD]","","ACTUAL YTD","","AllIdent","[Consolidations]","000","A0")</f>
        <v>ACTUAL YTD</v>
      </c>
      <c r="Q12" s="147" t="str">
        <f>_xll.IdPrj.AnalyzerFuncs.AnalyzerOLAPMember("[Consolidations].[Consolidations].&amp;[3]&amp;[29646848]&amp;[1]&amp;[3]&amp;[45]","","FC - 2013.03 - HMY - DEF - EUR","","3.29646848.1.3.45","[Consolidations]","000","A0")</f>
        <v>FC - 2013.03 - HMY - DEF - EUR</v>
      </c>
      <c r="AC12" s="147" t="str">
        <f>_xll.IdPrj.AnalyzerFuncs.AnalyzerOLAPMember("[Consolidations].[BUDGET YTD]","","BUDGET YTD","","AllIdent","[Consolidations]","000","A0")</f>
        <v>BUDGET YTD</v>
      </c>
      <c r="AO12" s="147" t="str">
        <f>_xll.IdPrj.AnalyzerFuncs.AnalyzerOLAPMember("[Consolidations].[ACTUAL YTD N-1]","","ACTUAL YTD N-1","","AllIdent","[Consolidations]","000","A0")</f>
        <v>ACTUAL YTD N-1</v>
      </c>
      <c r="BA12" s="133" t="str">
        <f>_xll.IdPrj.AnalyzerFuncs.AnalyzerOLAPMember("[Consolidations].[FORECAST YTD N-1]","","FORECAST YTD N-1","","AllIdent","[Consolidations]","000","A0")</f>
        <v>FORECAST YTD N-1</v>
      </c>
    </row>
    <row r="13" spans="1:53" s="159" customFormat="1" ht="15.75" outlineLevel="1" thickBot="1">
      <c r="E13" s="159" t="str">
        <f>_xll.IdPrj.AnalyzerFuncs.AnalyzerOLAPMember("[X02 - Month].[January]","","January","","AllIdent","[X02 - Month]","000","A1")</f>
        <v>January</v>
      </c>
      <c r="F13" s="159" t="str">
        <f>_xll.IdPrj.AnalyzerFuncs.AnalyzerOLAPMember("[X02 - Month].[February]","","February","","AllIdent","[X02 - Month]","000","A1")</f>
        <v>February</v>
      </c>
      <c r="G13" s="159" t="str">
        <f>_xll.IdPrj.AnalyzerFuncs.AnalyzerOLAPMember("[X02 - Month].[March]","","March","","AllIdent","[X02 - Month]","000","A1")</f>
        <v>March</v>
      </c>
      <c r="H13" s="159" t="str">
        <f>_xll.IdPrj.AnalyzerFuncs.AnalyzerOLAPMember("[X02 - Month].[April]","","April","","AllIdent","[X02 - Month]","000","A1")</f>
        <v>April</v>
      </c>
      <c r="I13" s="159" t="str">
        <f>_xll.IdPrj.AnalyzerFuncs.AnalyzerOLAPMember("[X02 - Month].[May]","","May","","AllIdent","[X02 - Month]","000","A1")</f>
        <v>May</v>
      </c>
      <c r="J13" s="159" t="str">
        <f>_xll.IdPrj.AnalyzerFuncs.AnalyzerOLAPMember("[X02 - Month].[June]","","June","","AllIdent","[X02 - Month]","000","A1")</f>
        <v>June</v>
      </c>
      <c r="K13" s="159" t="str">
        <f>_xll.IdPrj.AnalyzerFuncs.AnalyzerOLAPMember("[X02 - Month].[July]","","July","","AllIdent","[X02 - Month]","000","A1")</f>
        <v>July</v>
      </c>
      <c r="L13" s="159" t="str">
        <f>_xll.IdPrj.AnalyzerFuncs.AnalyzerOLAPMember("[X02 - Month].[August]","","August","","AllIdent","[X02 - Month]","000","A1")</f>
        <v>August</v>
      </c>
      <c r="M13" s="159" t="str">
        <f>_xll.IdPrj.AnalyzerFuncs.AnalyzerOLAPMember("[X02 - Month].[September]","","September","","AllIdent","[X02 - Month]","000","A1")</f>
        <v>September</v>
      </c>
      <c r="N13" s="159" t="str">
        <f>_xll.IdPrj.AnalyzerFuncs.AnalyzerOLAPMember("[X02 - Month].[October]","","October","","AllIdent","[X02 - Month]","000","A1")</f>
        <v>October</v>
      </c>
      <c r="O13" s="159" t="str">
        <f>_xll.IdPrj.AnalyzerFuncs.AnalyzerOLAPMember("[X02 - Month].[November]","","November","","AllIdent","[X02 - Month]","000","A1")</f>
        <v>November</v>
      </c>
      <c r="P13" s="159" t="str">
        <f>_xll.IdPrj.AnalyzerFuncs.AnalyzerOLAPMember("[X02 - Month].[December]","","December","","AllIdent","[X02 - Month]","000","A1")</f>
        <v>December</v>
      </c>
      <c r="Q13" s="159" t="str">
        <f>_xll.IdPrj.AnalyzerFuncs.AnalyzerOLAPMember("[X02 - Month].[January]","","January","","AllIdent","[X02 - Month]","000","A1")</f>
        <v>January</v>
      </c>
      <c r="R13" s="159" t="str">
        <f>_xll.IdPrj.AnalyzerFuncs.AnalyzerOLAPMember("[X02 - Month].[February]","","February","","AllIdent","[X02 - Month]","000","A1")</f>
        <v>February</v>
      </c>
      <c r="S13" s="159" t="str">
        <f>_xll.IdPrj.AnalyzerFuncs.AnalyzerOLAPMember("[X02 - Month].[March]","","March","","AllIdent","[X02 - Month]","000","A1")</f>
        <v>March</v>
      </c>
      <c r="T13" s="159" t="str">
        <f>_xll.IdPrj.AnalyzerFuncs.AnalyzerOLAPMember("[X02 - Month].[April]","","April","","AllIdent","[X02 - Month]","000","A1")</f>
        <v>April</v>
      </c>
      <c r="U13" s="159" t="str">
        <f>_xll.IdPrj.AnalyzerFuncs.AnalyzerOLAPMember("[X02 - Month].[May]","","May","","AllIdent","[X02 - Month]","000","A1")</f>
        <v>May</v>
      </c>
      <c r="V13" s="159" t="str">
        <f>_xll.IdPrj.AnalyzerFuncs.AnalyzerOLAPMember("[X02 - Month].[June]","","June","","AllIdent","[X02 - Month]","000","A1")</f>
        <v>June</v>
      </c>
      <c r="W13" s="159" t="str">
        <f>_xll.IdPrj.AnalyzerFuncs.AnalyzerOLAPMember("[X02 - Month].[July]","","July","","AllIdent","[X02 - Month]","000","A1")</f>
        <v>July</v>
      </c>
      <c r="X13" s="159" t="str">
        <f>_xll.IdPrj.AnalyzerFuncs.AnalyzerOLAPMember("[X02 - Month].[August]","","August","","AllIdent","[X02 - Month]","000","A1")</f>
        <v>August</v>
      </c>
      <c r="Y13" s="159" t="str">
        <f>_xll.IdPrj.AnalyzerFuncs.AnalyzerOLAPMember("[X02 - Month].[September]","","September","","AllIdent","[X02 - Month]","000","A1")</f>
        <v>September</v>
      </c>
      <c r="Z13" s="159" t="str">
        <f>_xll.IdPrj.AnalyzerFuncs.AnalyzerOLAPMember("[X02 - Month].[October]","","October","","AllIdent","[X02 - Month]","000","A1")</f>
        <v>October</v>
      </c>
      <c r="AA13" s="159" t="str">
        <f>_xll.IdPrj.AnalyzerFuncs.AnalyzerOLAPMember("[X02 - Month].[November]","","November","","AllIdent","[X02 - Month]","000","A1")</f>
        <v>November</v>
      </c>
      <c r="AB13" s="159" t="str">
        <f>_xll.IdPrj.AnalyzerFuncs.AnalyzerOLAPMember("[X02 - Month].[December]","","December","","AllIdent","[X02 - Month]","000","A1")</f>
        <v>December</v>
      </c>
      <c r="AC13" s="159" t="str">
        <f>_xll.IdPrj.AnalyzerFuncs.AnalyzerOLAPMember("[X02 - Month].[January]","","January","","AllIdent","[X02 - Month]","000","A1")</f>
        <v>January</v>
      </c>
      <c r="AD13" s="159" t="str">
        <f>_xll.IdPrj.AnalyzerFuncs.AnalyzerOLAPMember("[X02 - Month].[February]","","February","","AllIdent","[X02 - Month]","000","A1")</f>
        <v>February</v>
      </c>
      <c r="AE13" s="159" t="str">
        <f>_xll.IdPrj.AnalyzerFuncs.AnalyzerOLAPMember("[X02 - Month].[March]","","March","","AllIdent","[X02 - Month]","000","A1")</f>
        <v>March</v>
      </c>
      <c r="AF13" s="159" t="str">
        <f>_xll.IdPrj.AnalyzerFuncs.AnalyzerOLAPMember("[X02 - Month].[April]","","April","","AllIdent","[X02 - Month]","000","A1")</f>
        <v>April</v>
      </c>
      <c r="AG13" s="159" t="str">
        <f>_xll.IdPrj.AnalyzerFuncs.AnalyzerOLAPMember("[X02 - Month].[May]","","May","","AllIdent","[X02 - Month]","000","A1")</f>
        <v>May</v>
      </c>
      <c r="AH13" s="159" t="str">
        <f>_xll.IdPrj.AnalyzerFuncs.AnalyzerOLAPMember("[X02 - Month].[June]","","June","","AllIdent","[X02 - Month]","000","A1")</f>
        <v>June</v>
      </c>
      <c r="AI13" s="159" t="str">
        <f>_xll.IdPrj.AnalyzerFuncs.AnalyzerOLAPMember("[X02 - Month].[July]","","July","","AllIdent","[X02 - Month]","000","A1")</f>
        <v>July</v>
      </c>
      <c r="AJ13" s="159" t="str">
        <f>_xll.IdPrj.AnalyzerFuncs.AnalyzerOLAPMember("[X02 - Month].[August]","","August","","AllIdent","[X02 - Month]","000","A1")</f>
        <v>August</v>
      </c>
      <c r="AK13" s="159" t="str">
        <f>_xll.IdPrj.AnalyzerFuncs.AnalyzerOLAPMember("[X02 - Month].[September]","","September","","AllIdent","[X02 - Month]","000","A1")</f>
        <v>September</v>
      </c>
      <c r="AL13" s="159" t="str">
        <f>_xll.IdPrj.AnalyzerFuncs.AnalyzerOLAPMember("[X02 - Month].[October]","","October","","AllIdent","[X02 - Month]","000","A1")</f>
        <v>October</v>
      </c>
      <c r="AM13" s="159" t="str">
        <f>_xll.IdPrj.AnalyzerFuncs.AnalyzerOLAPMember("[X02 - Month].[November]","","November","","AllIdent","[X02 - Month]","000","A1")</f>
        <v>November</v>
      </c>
      <c r="AN13" s="159" t="str">
        <f>_xll.IdPrj.AnalyzerFuncs.AnalyzerOLAPMember("[X02 - Month].[December]","","December","","AllIdent","[X02 - Month]","000","A1")</f>
        <v>December</v>
      </c>
      <c r="AO13" s="159" t="str">
        <f>_xll.IdPrj.AnalyzerFuncs.AnalyzerOLAPMember("[X02 - Month].[January]","","January","","AllIdent","[X02 - Month]","000","A1")</f>
        <v>January</v>
      </c>
      <c r="AP13" s="159" t="str">
        <f>_xll.IdPrj.AnalyzerFuncs.AnalyzerOLAPMember("[X02 - Month].[February]","","February","","AllIdent","[X02 - Month]","000","A1")</f>
        <v>February</v>
      </c>
      <c r="AQ13" s="159" t="str">
        <f>_xll.IdPrj.AnalyzerFuncs.AnalyzerOLAPMember("[X02 - Month].[March]","","March","","AllIdent","[X02 - Month]","000","A1")</f>
        <v>March</v>
      </c>
      <c r="AR13" s="159" t="str">
        <f>_xll.IdPrj.AnalyzerFuncs.AnalyzerOLAPMember("[X02 - Month].[April]","","April","","AllIdent","[X02 - Month]","000","A1")</f>
        <v>April</v>
      </c>
      <c r="AS13" s="159" t="str">
        <f>_xll.IdPrj.AnalyzerFuncs.AnalyzerOLAPMember("[X02 - Month].[May]","","May","","AllIdent","[X02 - Month]","000","A1")</f>
        <v>May</v>
      </c>
      <c r="AT13" s="159" t="str">
        <f>_xll.IdPrj.AnalyzerFuncs.AnalyzerOLAPMember("[X02 - Month].[June]","","June","","AllIdent","[X02 - Month]","000","A1")</f>
        <v>June</v>
      </c>
      <c r="AU13" s="159" t="str">
        <f>_xll.IdPrj.AnalyzerFuncs.AnalyzerOLAPMember("[X02 - Month].[July]","","July","","AllIdent","[X02 - Month]","000","A1")</f>
        <v>July</v>
      </c>
      <c r="AV13" s="159" t="str">
        <f>_xll.IdPrj.AnalyzerFuncs.AnalyzerOLAPMember("[X02 - Month].[August]","","August","","AllIdent","[X02 - Month]","000","A1")</f>
        <v>August</v>
      </c>
      <c r="AW13" s="159" t="str">
        <f>_xll.IdPrj.AnalyzerFuncs.AnalyzerOLAPMember("[X02 - Month].[September]","","September","","AllIdent","[X02 - Month]","000","A1")</f>
        <v>September</v>
      </c>
      <c r="AX13" s="159" t="str">
        <f>_xll.IdPrj.AnalyzerFuncs.AnalyzerOLAPMember("[X02 - Month].[October]","","October","","AllIdent","[X02 - Month]","000","A1")</f>
        <v>October</v>
      </c>
      <c r="AY13" s="159" t="str">
        <f>_xll.IdPrj.AnalyzerFuncs.AnalyzerOLAPMember("[X02 - Month].[November]","","November","","AllIdent","[X02 - Month]","000","A1")</f>
        <v>November</v>
      </c>
      <c r="AZ13" s="159" t="str">
        <f>_xll.IdPrj.AnalyzerFuncs.AnalyzerOLAPMember("[X02 - Month].[December]","","December","","AllIdent","[X02 - Month]","000","A1")</f>
        <v>December</v>
      </c>
      <c r="BA13" s="159" t="str">
        <f>_xll.IdPrj.AnalyzerFuncs.AnalyzerOLAPMember("[X02 - Month].[X02 - Month].&amp;[0]","","DO NOT USE","","-524278.-524278.0","[X02 - Month]","000","A1")</f>
        <v>DO NOT USE</v>
      </c>
    </row>
    <row r="14" spans="1:53" s="126" customFormat="1" ht="18" customHeight="1">
      <c r="D14" s="177"/>
      <c r="E14" s="323" t="str">
        <f>+"31-01-"&amp;MID($A$1,3,2)</f>
        <v>31-01-13</v>
      </c>
      <c r="F14" s="323" t="str">
        <f>+"29-02-"&amp;MID($A$1,3,2)</f>
        <v>29-02-13</v>
      </c>
      <c r="G14" s="323" t="str">
        <f>+"31-03-"&amp;MID($A$1,3,2)</f>
        <v>31-03-13</v>
      </c>
      <c r="H14" s="384" t="str">
        <f>+"30-04-"&amp;MID($A$1,3,2)</f>
        <v>30-04-13</v>
      </c>
      <c r="I14" s="323" t="str">
        <f>+"31-05-"&amp;MID($A$1,3,2)</f>
        <v>31-05-13</v>
      </c>
      <c r="J14" s="323" t="str">
        <f>+"30-06-"&amp;MID($A$1,3,2)</f>
        <v>30-06-13</v>
      </c>
      <c r="K14" s="323" t="str">
        <f>+"31-07-"&amp;MID($A$1,3,2)</f>
        <v>31-07-13</v>
      </c>
      <c r="L14" s="323" t="str">
        <f>+"31-08-"&amp;MID($A$1,3,2)</f>
        <v>31-08-13</v>
      </c>
      <c r="M14" s="323" t="str">
        <f>+"30-09-"&amp;MID($A$1,3,2)</f>
        <v>30-09-13</v>
      </c>
      <c r="N14" s="323" t="str">
        <f>+"31-10-"&amp;MID($A$1,3,2)</f>
        <v>31-10-13</v>
      </c>
      <c r="O14" s="323" t="str">
        <f>+"30-11-"&amp;MID($A$1,3,2)</f>
        <v>30-11-13</v>
      </c>
      <c r="P14" s="323" t="str">
        <f>+"31-12-"&amp;MID($A$1,3,2)</f>
        <v>31-12-13</v>
      </c>
      <c r="Q14" s="324" t="str">
        <f>+"31-01-"&amp;MID($A$1,3,2)</f>
        <v>31-01-13</v>
      </c>
      <c r="R14" s="323" t="str">
        <f>+"29-02-"&amp;MID($A$1,3,2)</f>
        <v>29-02-13</v>
      </c>
      <c r="S14" s="323" t="str">
        <f>+"31-03-"&amp;MID($A$1,3,2)</f>
        <v>31-03-13</v>
      </c>
      <c r="T14" s="323" t="str">
        <f>+"30-04-"&amp;MID($A$1,3,2)</f>
        <v>30-04-13</v>
      </c>
      <c r="U14" s="323" t="str">
        <f>+"31-05-"&amp;MID($A$1,3,2)</f>
        <v>31-05-13</v>
      </c>
      <c r="V14" s="323" t="str">
        <f>+"30-06-"&amp;MID($A$1,3,2)</f>
        <v>30-06-13</v>
      </c>
      <c r="W14" s="323" t="str">
        <f>+"31-07-"&amp;MID($A$1,3,2)</f>
        <v>31-07-13</v>
      </c>
      <c r="X14" s="323" t="str">
        <f>+"31-08-"&amp;MID($A$1,3,2)</f>
        <v>31-08-13</v>
      </c>
      <c r="Y14" s="323" t="str">
        <f>+"30-09-"&amp;MID($A$1,3,2)</f>
        <v>30-09-13</v>
      </c>
      <c r="Z14" s="323" t="str">
        <f>+"31-10-"&amp;MID($A$1,3,2)</f>
        <v>31-10-13</v>
      </c>
      <c r="AA14" s="323" t="str">
        <f>+"30-11-"&amp;MID($A$1,3,2)</f>
        <v>30-11-13</v>
      </c>
      <c r="AB14" s="325" t="str">
        <f>+"31-12-"&amp;MID($A$1,3,2)</f>
        <v>31-12-13</v>
      </c>
      <c r="AC14" s="324" t="str">
        <f>+"31-01-"&amp;MID($A$1,3,2)</f>
        <v>31-01-13</v>
      </c>
      <c r="AD14" s="323" t="str">
        <f>+"29-02-"&amp;MID($A$1,3,2)</f>
        <v>29-02-13</v>
      </c>
      <c r="AE14" s="323" t="str">
        <f>+"31-03-"&amp;MID($A$1,3,2)</f>
        <v>31-03-13</v>
      </c>
      <c r="AF14" s="323" t="str">
        <f>+"30-04-"&amp;MID($A$1,3,2)</f>
        <v>30-04-13</v>
      </c>
      <c r="AG14" s="323" t="str">
        <f>+"31-05-"&amp;MID($A$1,3,2)</f>
        <v>31-05-13</v>
      </c>
      <c r="AH14" s="323" t="str">
        <f>+"30-06-"&amp;MID($A$1,3,2)</f>
        <v>30-06-13</v>
      </c>
      <c r="AI14" s="323" t="str">
        <f>+"31-07-"&amp;MID($A$1,3,2)</f>
        <v>31-07-13</v>
      </c>
      <c r="AJ14" s="323" t="str">
        <f>+"31-08-"&amp;MID($A$1,3,2)</f>
        <v>31-08-13</v>
      </c>
      <c r="AK14" s="323" t="str">
        <f>+"30-09-"&amp;MID($A$1,3,2)</f>
        <v>30-09-13</v>
      </c>
      <c r="AL14" s="323" t="str">
        <f>+"31-10-"&amp;MID($A$1,3,2)</f>
        <v>31-10-13</v>
      </c>
      <c r="AM14" s="323" t="str">
        <f>+"30-11-"&amp;MID($A$1,3,2)</f>
        <v>30-11-13</v>
      </c>
      <c r="AN14" s="325" t="str">
        <f>+"31-12-"&amp;MID($A$1,3,2)</f>
        <v>31-12-13</v>
      </c>
      <c r="AO14" s="323" t="str">
        <f>+"31-01-"&amp;MID($A$1,3,2)-1</f>
        <v>31-01-12</v>
      </c>
      <c r="AP14" s="323" t="str">
        <f>+"29-02-"&amp;MID($A$1,3,2)-1</f>
        <v>29-02-12</v>
      </c>
      <c r="AQ14" s="323" t="str">
        <f>+"31-03-"&amp;MID($A$1,3,2)-1</f>
        <v>31-03-12</v>
      </c>
      <c r="AR14" s="323" t="str">
        <f>+"30-04-"&amp;MID($A$1,3,2)-1</f>
        <v>30-04-12</v>
      </c>
      <c r="AS14" s="323" t="str">
        <f>+"31-05-"&amp;MID($A$1,3,2)-1</f>
        <v>31-05-12</v>
      </c>
      <c r="AT14" s="323" t="str">
        <f>+"30-06-"&amp;MID($A$1,3,2)-1</f>
        <v>30-06-12</v>
      </c>
      <c r="AU14" s="323" t="str">
        <f>+"31-07-"&amp;MID($A$1,3,2)-1</f>
        <v>31-07-12</v>
      </c>
      <c r="AV14" s="323" t="str">
        <f>+"31-08-"&amp;MID($A$1,3,2)-1</f>
        <v>31-08-12</v>
      </c>
      <c r="AW14" s="323" t="str">
        <f>+"30-09-"&amp;MID($A$1,3,2)-1</f>
        <v>30-09-12</v>
      </c>
      <c r="AX14" s="323" t="str">
        <f>+"31-10-"&amp;MID($A$1,3,2)-1</f>
        <v>31-10-12</v>
      </c>
      <c r="AY14" s="323" t="str">
        <f>+"30-11-"&amp;MID($A$1,3,2)-1</f>
        <v>30-11-12</v>
      </c>
      <c r="AZ14" s="325" t="str">
        <f>+"31-12-"&amp;MID($A$1,3,2)-1</f>
        <v>31-12-12</v>
      </c>
      <c r="BA14" s="326" t="str">
        <f>+"31-12-"&amp;MID($A$1,3,2)-1</f>
        <v>31-12-12</v>
      </c>
    </row>
    <row r="15" spans="1:53" s="126" customFormat="1" ht="18" customHeight="1" thickBot="1">
      <c r="D15" s="182"/>
      <c r="E15" s="249" t="s">
        <v>7</v>
      </c>
      <c r="F15" s="249" t="s">
        <v>7</v>
      </c>
      <c r="G15" s="249" t="s">
        <v>7</v>
      </c>
      <c r="H15" s="262" t="s">
        <v>7</v>
      </c>
      <c r="I15" s="249" t="s">
        <v>7</v>
      </c>
      <c r="J15" s="249" t="s">
        <v>7</v>
      </c>
      <c r="K15" s="249" t="s">
        <v>7</v>
      </c>
      <c r="L15" s="249" t="s">
        <v>7</v>
      </c>
      <c r="M15" s="249" t="s">
        <v>7</v>
      </c>
      <c r="N15" s="249" t="s">
        <v>7</v>
      </c>
      <c r="O15" s="249" t="s">
        <v>7</v>
      </c>
      <c r="P15" s="249" t="s">
        <v>7</v>
      </c>
      <c r="Q15" s="248" t="s">
        <v>145</v>
      </c>
      <c r="R15" s="249" t="s">
        <v>145</v>
      </c>
      <c r="S15" s="249" t="s">
        <v>145</v>
      </c>
      <c r="T15" s="249" t="s">
        <v>145</v>
      </c>
      <c r="U15" s="249" t="s">
        <v>145</v>
      </c>
      <c r="V15" s="249" t="s">
        <v>145</v>
      </c>
      <c r="W15" s="249" t="s">
        <v>145</v>
      </c>
      <c r="X15" s="249" t="s">
        <v>145</v>
      </c>
      <c r="Y15" s="249" t="s">
        <v>145</v>
      </c>
      <c r="Z15" s="249" t="s">
        <v>145</v>
      </c>
      <c r="AA15" s="249" t="s">
        <v>145</v>
      </c>
      <c r="AB15" s="250" t="s">
        <v>145</v>
      </c>
      <c r="AC15" s="248" t="s">
        <v>9</v>
      </c>
      <c r="AD15" s="249" t="s">
        <v>9</v>
      </c>
      <c r="AE15" s="249" t="s">
        <v>9</v>
      </c>
      <c r="AF15" s="249" t="s">
        <v>9</v>
      </c>
      <c r="AG15" s="249" t="s">
        <v>9</v>
      </c>
      <c r="AH15" s="249" t="s">
        <v>9</v>
      </c>
      <c r="AI15" s="249" t="s">
        <v>9</v>
      </c>
      <c r="AJ15" s="249" t="s">
        <v>9</v>
      </c>
      <c r="AK15" s="249" t="s">
        <v>9</v>
      </c>
      <c r="AL15" s="249" t="s">
        <v>9</v>
      </c>
      <c r="AM15" s="249" t="s">
        <v>9</v>
      </c>
      <c r="AN15" s="250" t="s">
        <v>9</v>
      </c>
      <c r="AO15" s="249" t="s">
        <v>7</v>
      </c>
      <c r="AP15" s="249" t="s">
        <v>7</v>
      </c>
      <c r="AQ15" s="249" t="s">
        <v>7</v>
      </c>
      <c r="AR15" s="249" t="s">
        <v>7</v>
      </c>
      <c r="AS15" s="249" t="s">
        <v>7</v>
      </c>
      <c r="AT15" s="249" t="s">
        <v>7</v>
      </c>
      <c r="AU15" s="249" t="s">
        <v>7</v>
      </c>
      <c r="AV15" s="249" t="s">
        <v>7</v>
      </c>
      <c r="AW15" s="249" t="s">
        <v>7</v>
      </c>
      <c r="AX15" s="249" t="s">
        <v>7</v>
      </c>
      <c r="AY15" s="249" t="s">
        <v>7</v>
      </c>
      <c r="AZ15" s="250" t="s">
        <v>7</v>
      </c>
      <c r="BA15" s="251" t="s">
        <v>26</v>
      </c>
    </row>
    <row r="16" spans="1:53" s="150" customFormat="1" ht="18.75">
      <c r="C16" s="372" t="s">
        <v>94</v>
      </c>
      <c r="D16" s="373" t="s">
        <v>121</v>
      </c>
      <c r="E16" s="331">
        <f t="shared" ref="E16:AB16" si="1">+E70</f>
        <v>15488.95982</v>
      </c>
      <c r="F16" s="331">
        <f t="shared" si="1"/>
        <v>16155.17635</v>
      </c>
      <c r="G16" s="331">
        <f t="shared" si="1"/>
        <v>15872.05766</v>
      </c>
      <c r="H16" s="334">
        <f t="shared" si="1"/>
        <v>15069.483819999999</v>
      </c>
      <c r="I16" s="331">
        <f t="shared" si="1"/>
        <v>0</v>
      </c>
      <c r="J16" s="331">
        <f t="shared" si="1"/>
        <v>0</v>
      </c>
      <c r="K16" s="331">
        <f t="shared" si="1"/>
        <v>0</v>
      </c>
      <c r="L16" s="331">
        <f t="shared" si="1"/>
        <v>0</v>
      </c>
      <c r="M16" s="331">
        <f t="shared" si="1"/>
        <v>0</v>
      </c>
      <c r="N16" s="331">
        <f t="shared" si="1"/>
        <v>0</v>
      </c>
      <c r="O16" s="331">
        <f t="shared" si="1"/>
        <v>0</v>
      </c>
      <c r="P16" s="332">
        <f t="shared" si="1"/>
        <v>0</v>
      </c>
      <c r="Q16" s="333">
        <f t="shared" si="1"/>
        <v>15488.95982</v>
      </c>
      <c r="R16" s="331">
        <f t="shared" si="1"/>
        <v>16155.17635</v>
      </c>
      <c r="S16" s="331">
        <f t="shared" si="1"/>
        <v>15872.05766</v>
      </c>
      <c r="T16" s="331">
        <f t="shared" si="1"/>
        <v>15886.375</v>
      </c>
      <c r="U16" s="331">
        <f t="shared" si="1"/>
        <v>15964.165000000001</v>
      </c>
      <c r="V16" s="331">
        <f t="shared" si="1"/>
        <v>15402.014999999999</v>
      </c>
      <c r="W16" s="331">
        <f t="shared" si="1"/>
        <v>16317.434999999999</v>
      </c>
      <c r="X16" s="331">
        <f t="shared" si="1"/>
        <v>15356.775</v>
      </c>
      <c r="Y16" s="331">
        <f t="shared" si="1"/>
        <v>14646.205</v>
      </c>
      <c r="Z16" s="331">
        <f t="shared" si="1"/>
        <v>13617.545</v>
      </c>
      <c r="AA16" s="331">
        <f t="shared" si="1"/>
        <v>12673.285</v>
      </c>
      <c r="AB16" s="332">
        <f t="shared" si="1"/>
        <v>12618.415000000001</v>
      </c>
      <c r="AC16" s="333">
        <f t="shared" ref="AC16:BA16" si="2">+AC70</f>
        <v>16341.571</v>
      </c>
      <c r="AD16" s="331">
        <f t="shared" si="2"/>
        <v>16473.010999999999</v>
      </c>
      <c r="AE16" s="331">
        <f t="shared" si="2"/>
        <v>16005.370999999999</v>
      </c>
      <c r="AF16" s="331">
        <f t="shared" si="2"/>
        <v>15837.721</v>
      </c>
      <c r="AG16" s="331">
        <f t="shared" si="2"/>
        <v>16070.161</v>
      </c>
      <c r="AH16" s="331">
        <f t="shared" si="2"/>
        <v>15701.511</v>
      </c>
      <c r="AI16" s="331">
        <f t="shared" si="2"/>
        <v>16897.848000000002</v>
      </c>
      <c r="AJ16" s="331">
        <f t="shared" si="2"/>
        <v>15833.188</v>
      </c>
      <c r="AK16" s="331">
        <f t="shared" si="2"/>
        <v>15267.618</v>
      </c>
      <c r="AL16" s="331">
        <f t="shared" si="2"/>
        <v>14102.958000000001</v>
      </c>
      <c r="AM16" s="331">
        <f t="shared" si="2"/>
        <v>13439.698</v>
      </c>
      <c r="AN16" s="332">
        <f t="shared" si="2"/>
        <v>13376.828</v>
      </c>
      <c r="AO16" s="331">
        <f t="shared" si="2"/>
        <v>-4.0119999999999969</v>
      </c>
      <c r="AP16" s="331">
        <f t="shared" si="2"/>
        <v>23662.779337399999</v>
      </c>
      <c r="AQ16" s="331">
        <f t="shared" si="2"/>
        <v>21795.624796799999</v>
      </c>
      <c r="AR16" s="331">
        <f t="shared" si="2"/>
        <v>20468.713</v>
      </c>
      <c r="AS16" s="331">
        <f t="shared" si="2"/>
        <v>20856.592789999999</v>
      </c>
      <c r="AT16" s="331">
        <f t="shared" si="2"/>
        <v>20428.82861</v>
      </c>
      <c r="AU16" s="331">
        <f t="shared" si="2"/>
        <v>21764.831010000002</v>
      </c>
      <c r="AV16" s="331">
        <f t="shared" si="2"/>
        <v>20058.942219999997</v>
      </c>
      <c r="AW16" s="331">
        <f t="shared" si="2"/>
        <v>17901.920570000002</v>
      </c>
      <c r="AX16" s="331">
        <f t="shared" si="2"/>
        <v>16428.44699</v>
      </c>
      <c r="AY16" s="331">
        <f t="shared" si="2"/>
        <v>15417.60009</v>
      </c>
      <c r="AZ16" s="332">
        <f t="shared" si="2"/>
        <v>14536.2363</v>
      </c>
      <c r="BA16" s="334">
        <f t="shared" si="2"/>
        <v>15643.991</v>
      </c>
    </row>
    <row r="17" spans="3:53" s="150" customFormat="1" ht="18.75">
      <c r="C17" s="374" t="s">
        <v>94</v>
      </c>
      <c r="D17" s="375" t="s">
        <v>120</v>
      </c>
      <c r="E17" s="335">
        <f t="shared" ref="E17:AB17" si="3">E71</f>
        <v>27500.359</v>
      </c>
      <c r="F17" s="335">
        <f t="shared" si="3"/>
        <v>32167.532999999999</v>
      </c>
      <c r="G17" s="335">
        <f t="shared" si="3"/>
        <v>40672.036999999997</v>
      </c>
      <c r="H17" s="338">
        <f t="shared" si="3"/>
        <v>40842.099000000002</v>
      </c>
      <c r="I17" s="335">
        <f t="shared" si="3"/>
        <v>0</v>
      </c>
      <c r="J17" s="335">
        <f t="shared" si="3"/>
        <v>0</v>
      </c>
      <c r="K17" s="335">
        <f t="shared" si="3"/>
        <v>0</v>
      </c>
      <c r="L17" s="335">
        <f t="shared" si="3"/>
        <v>0</v>
      </c>
      <c r="M17" s="335">
        <f t="shared" si="3"/>
        <v>0</v>
      </c>
      <c r="N17" s="335">
        <f t="shared" si="3"/>
        <v>0</v>
      </c>
      <c r="O17" s="335">
        <f t="shared" si="3"/>
        <v>0</v>
      </c>
      <c r="P17" s="336">
        <f t="shared" si="3"/>
        <v>0</v>
      </c>
      <c r="Q17" s="337">
        <f t="shared" si="3"/>
        <v>27500.359</v>
      </c>
      <c r="R17" s="335">
        <f t="shared" si="3"/>
        <v>32167.532999999999</v>
      </c>
      <c r="S17" s="335">
        <f t="shared" si="3"/>
        <v>40672.036999999997</v>
      </c>
      <c r="T17" s="335">
        <f t="shared" si="3"/>
        <v>50770.184999999998</v>
      </c>
      <c r="U17" s="335">
        <f t="shared" si="3"/>
        <v>49243.093000000001</v>
      </c>
      <c r="V17" s="335">
        <f t="shared" si="3"/>
        <v>47115.097999999998</v>
      </c>
      <c r="W17" s="335">
        <f t="shared" si="3"/>
        <v>44076.383000000002</v>
      </c>
      <c r="X17" s="335">
        <f t="shared" si="3"/>
        <v>43648.43</v>
      </c>
      <c r="Y17" s="335">
        <f t="shared" si="3"/>
        <v>43986.112000000001</v>
      </c>
      <c r="Z17" s="335">
        <f t="shared" si="3"/>
        <v>43411.186000000002</v>
      </c>
      <c r="AA17" s="335">
        <f t="shared" si="3"/>
        <v>41176.385999999999</v>
      </c>
      <c r="AB17" s="336">
        <f t="shared" si="3"/>
        <v>31259.692999999999</v>
      </c>
      <c r="AC17" s="337">
        <f t="shared" ref="AC17:BA17" si="4">AC71</f>
        <v>33473.055999999997</v>
      </c>
      <c r="AD17" s="335">
        <f t="shared" si="4"/>
        <v>38306.027999999998</v>
      </c>
      <c r="AE17" s="335">
        <f t="shared" si="4"/>
        <v>44358.237000000001</v>
      </c>
      <c r="AF17" s="335">
        <f t="shared" si="4"/>
        <v>50554.972000000002</v>
      </c>
      <c r="AG17" s="335">
        <f t="shared" si="4"/>
        <v>50482.2</v>
      </c>
      <c r="AH17" s="335">
        <f t="shared" si="4"/>
        <v>49415.713000000003</v>
      </c>
      <c r="AI17" s="335">
        <f t="shared" si="4"/>
        <v>46562.881999999998</v>
      </c>
      <c r="AJ17" s="335">
        <f t="shared" si="4"/>
        <v>46786.646999999997</v>
      </c>
      <c r="AK17" s="335">
        <f t="shared" si="4"/>
        <v>46974.701999999997</v>
      </c>
      <c r="AL17" s="335">
        <f t="shared" si="4"/>
        <v>46423.665000000001</v>
      </c>
      <c r="AM17" s="335">
        <f t="shared" si="4"/>
        <v>44075.527000000002</v>
      </c>
      <c r="AN17" s="336">
        <f t="shared" si="4"/>
        <v>33911.701000000001</v>
      </c>
      <c r="AO17" s="335">
        <f t="shared" si="4"/>
        <v>1687.2809999999999</v>
      </c>
      <c r="AP17" s="335">
        <f t="shared" si="4"/>
        <v>40300.606</v>
      </c>
      <c r="AQ17" s="335">
        <f t="shared" si="4"/>
        <v>43298.025999999998</v>
      </c>
      <c r="AR17" s="335">
        <f t="shared" si="4"/>
        <v>42103.241999999998</v>
      </c>
      <c r="AS17" s="335">
        <f t="shared" si="4"/>
        <v>37084.385999999999</v>
      </c>
      <c r="AT17" s="335">
        <f t="shared" si="4"/>
        <v>36617.014999999999</v>
      </c>
      <c r="AU17" s="335">
        <f t="shared" si="4"/>
        <v>35119.216</v>
      </c>
      <c r="AV17" s="335">
        <f t="shared" si="4"/>
        <v>35112.319000000003</v>
      </c>
      <c r="AW17" s="335">
        <f t="shared" si="4"/>
        <v>36933.339</v>
      </c>
      <c r="AX17" s="335">
        <f t="shared" si="4"/>
        <v>38725.714999999997</v>
      </c>
      <c r="AY17" s="335">
        <f t="shared" si="4"/>
        <v>36964.03</v>
      </c>
      <c r="AZ17" s="336">
        <f t="shared" si="4"/>
        <v>27866.39</v>
      </c>
      <c r="BA17" s="338">
        <f t="shared" si="4"/>
        <v>37060.224999999999</v>
      </c>
    </row>
    <row r="18" spans="3:53" s="151" customFormat="1" ht="18.75">
      <c r="C18" s="376"/>
      <c r="D18" s="377" t="s">
        <v>119</v>
      </c>
      <c r="E18" s="339">
        <f t="shared" ref="E18:AB18" si="5">E74</f>
        <v>6948.1809999999996</v>
      </c>
      <c r="F18" s="339">
        <f t="shared" si="5"/>
        <v>5951.527</v>
      </c>
      <c r="G18" s="339">
        <f t="shared" si="5"/>
        <v>7304.2190000000001</v>
      </c>
      <c r="H18" s="342">
        <f t="shared" si="5"/>
        <v>7259.8770000000004</v>
      </c>
      <c r="I18" s="339">
        <f t="shared" si="5"/>
        <v>0</v>
      </c>
      <c r="J18" s="339">
        <f t="shared" si="5"/>
        <v>0</v>
      </c>
      <c r="K18" s="339">
        <f t="shared" si="5"/>
        <v>0</v>
      </c>
      <c r="L18" s="339">
        <f t="shared" si="5"/>
        <v>0</v>
      </c>
      <c r="M18" s="339">
        <f t="shared" si="5"/>
        <v>0</v>
      </c>
      <c r="N18" s="339">
        <f t="shared" si="5"/>
        <v>0</v>
      </c>
      <c r="O18" s="339">
        <f t="shared" si="5"/>
        <v>0</v>
      </c>
      <c r="P18" s="340">
        <f t="shared" si="5"/>
        <v>0</v>
      </c>
      <c r="Q18" s="341">
        <f t="shared" si="5"/>
        <v>6948.1809999999996</v>
      </c>
      <c r="R18" s="339">
        <f t="shared" si="5"/>
        <v>5951.527</v>
      </c>
      <c r="S18" s="339">
        <f t="shared" si="5"/>
        <v>7304.2190000000001</v>
      </c>
      <c r="T18" s="339">
        <f t="shared" si="5"/>
        <v>10740</v>
      </c>
      <c r="U18" s="339">
        <f t="shared" si="5"/>
        <v>10350</v>
      </c>
      <c r="V18" s="339">
        <f t="shared" si="5"/>
        <v>10160</v>
      </c>
      <c r="W18" s="339">
        <f t="shared" si="5"/>
        <v>9600</v>
      </c>
      <c r="X18" s="339">
        <f t="shared" si="5"/>
        <v>9480</v>
      </c>
      <c r="Y18" s="339">
        <f t="shared" si="5"/>
        <v>9080</v>
      </c>
      <c r="Z18" s="339">
        <f t="shared" si="5"/>
        <v>8840</v>
      </c>
      <c r="AA18" s="339">
        <f t="shared" si="5"/>
        <v>8200</v>
      </c>
      <c r="AB18" s="340">
        <f t="shared" si="5"/>
        <v>6500</v>
      </c>
      <c r="AC18" s="341">
        <f t="shared" ref="AC18:BA18" si="6">AC74</f>
        <v>7410</v>
      </c>
      <c r="AD18" s="339">
        <f t="shared" si="6"/>
        <v>8300</v>
      </c>
      <c r="AE18" s="339">
        <f t="shared" si="6"/>
        <v>9600</v>
      </c>
      <c r="AF18" s="339">
        <f t="shared" si="6"/>
        <v>10740</v>
      </c>
      <c r="AG18" s="339">
        <f t="shared" si="6"/>
        <v>10350</v>
      </c>
      <c r="AH18" s="339">
        <f t="shared" si="6"/>
        <v>10160</v>
      </c>
      <c r="AI18" s="339">
        <f t="shared" si="6"/>
        <v>9600</v>
      </c>
      <c r="AJ18" s="339">
        <f t="shared" si="6"/>
        <v>9480</v>
      </c>
      <c r="AK18" s="339">
        <f t="shared" si="6"/>
        <v>9080</v>
      </c>
      <c r="AL18" s="339">
        <f t="shared" si="6"/>
        <v>8840</v>
      </c>
      <c r="AM18" s="339">
        <f t="shared" si="6"/>
        <v>8200</v>
      </c>
      <c r="AN18" s="340">
        <f t="shared" si="6"/>
        <v>6500</v>
      </c>
      <c r="AO18" s="339">
        <f t="shared" si="6"/>
        <v>0</v>
      </c>
      <c r="AP18" s="339">
        <f t="shared" si="6"/>
        <v>10046.425999999999</v>
      </c>
      <c r="AQ18" s="339">
        <f t="shared" si="6"/>
        <v>9261.3119999999999</v>
      </c>
      <c r="AR18" s="339">
        <f t="shared" si="6"/>
        <v>10180.875</v>
      </c>
      <c r="AS18" s="339">
        <f t="shared" si="6"/>
        <v>11858.906000000001</v>
      </c>
      <c r="AT18" s="339">
        <f t="shared" si="6"/>
        <v>9606.3919999999998</v>
      </c>
      <c r="AU18" s="339">
        <f t="shared" si="6"/>
        <v>7701.058</v>
      </c>
      <c r="AV18" s="339">
        <f t="shared" si="6"/>
        <v>7365.7510000000002</v>
      </c>
      <c r="AW18" s="339">
        <f t="shared" si="6"/>
        <v>8739.3819999999996</v>
      </c>
      <c r="AX18" s="339">
        <f t="shared" si="6"/>
        <v>7296.3209999999999</v>
      </c>
      <c r="AY18" s="339">
        <f t="shared" si="6"/>
        <v>8351.7479999999996</v>
      </c>
      <c r="AZ18" s="340">
        <f t="shared" si="6"/>
        <v>9340.9959999999992</v>
      </c>
      <c r="BA18" s="342">
        <f t="shared" si="6"/>
        <v>8900</v>
      </c>
    </row>
    <row r="19" spans="3:53" s="151" customFormat="1" ht="18.75">
      <c r="C19" s="376"/>
      <c r="D19" s="377" t="s">
        <v>118</v>
      </c>
      <c r="E19" s="339">
        <f t="shared" ref="E19:AB19" si="7">E123</f>
        <v>1939.6690000000001</v>
      </c>
      <c r="F19" s="339">
        <f t="shared" si="7"/>
        <v>2428.7550000000001</v>
      </c>
      <c r="G19" s="339">
        <f t="shared" si="7"/>
        <v>3455.8130000000001</v>
      </c>
      <c r="H19" s="342">
        <f t="shared" si="7"/>
        <v>2299.7840000000001</v>
      </c>
      <c r="I19" s="339">
        <f t="shared" si="7"/>
        <v>0</v>
      </c>
      <c r="J19" s="339">
        <f t="shared" si="7"/>
        <v>0</v>
      </c>
      <c r="K19" s="339">
        <f t="shared" si="7"/>
        <v>0</v>
      </c>
      <c r="L19" s="339">
        <f t="shared" si="7"/>
        <v>0</v>
      </c>
      <c r="M19" s="339">
        <f t="shared" si="7"/>
        <v>0</v>
      </c>
      <c r="N19" s="339">
        <f t="shared" si="7"/>
        <v>0</v>
      </c>
      <c r="O19" s="339">
        <f t="shared" si="7"/>
        <v>0</v>
      </c>
      <c r="P19" s="340">
        <f t="shared" si="7"/>
        <v>0</v>
      </c>
      <c r="Q19" s="341">
        <f t="shared" si="7"/>
        <v>1939.6690000000001</v>
      </c>
      <c r="R19" s="339">
        <f t="shared" si="7"/>
        <v>2428.7550000000001</v>
      </c>
      <c r="S19" s="339">
        <f t="shared" si="7"/>
        <v>3455.8130000000001</v>
      </c>
      <c r="T19" s="339">
        <f t="shared" si="7"/>
        <v>2090</v>
      </c>
      <c r="U19" s="339">
        <f t="shared" si="7"/>
        <v>2050</v>
      </c>
      <c r="V19" s="339">
        <f t="shared" si="7"/>
        <v>2050</v>
      </c>
      <c r="W19" s="339">
        <f t="shared" si="7"/>
        <v>2080</v>
      </c>
      <c r="X19" s="339">
        <f t="shared" si="7"/>
        <v>2110</v>
      </c>
      <c r="Y19" s="339">
        <f t="shared" si="7"/>
        <v>2050</v>
      </c>
      <c r="Z19" s="339">
        <f t="shared" si="7"/>
        <v>2030</v>
      </c>
      <c r="AA19" s="339">
        <f t="shared" si="7"/>
        <v>1940</v>
      </c>
      <c r="AB19" s="340">
        <f t="shared" si="7"/>
        <v>1700</v>
      </c>
      <c r="AC19" s="341">
        <f t="shared" ref="AC19:AZ19" si="8">AC123</f>
        <v>1810</v>
      </c>
      <c r="AD19" s="339">
        <f t="shared" si="8"/>
        <v>1835</v>
      </c>
      <c r="AE19" s="339">
        <f t="shared" si="8"/>
        <v>2080</v>
      </c>
      <c r="AF19" s="339">
        <f t="shared" si="8"/>
        <v>2180</v>
      </c>
      <c r="AG19" s="339">
        <f t="shared" si="8"/>
        <v>2140</v>
      </c>
      <c r="AH19" s="339">
        <f t="shared" si="8"/>
        <v>2140</v>
      </c>
      <c r="AI19" s="339">
        <f t="shared" si="8"/>
        <v>2170</v>
      </c>
      <c r="AJ19" s="339">
        <f t="shared" si="8"/>
        <v>2200</v>
      </c>
      <c r="AK19" s="339">
        <f t="shared" si="8"/>
        <v>2140</v>
      </c>
      <c r="AL19" s="339">
        <f t="shared" si="8"/>
        <v>2120</v>
      </c>
      <c r="AM19" s="339">
        <f t="shared" si="8"/>
        <v>2030</v>
      </c>
      <c r="AN19" s="340">
        <f t="shared" si="8"/>
        <v>1790</v>
      </c>
      <c r="AO19" s="339">
        <f t="shared" si="8"/>
        <v>0</v>
      </c>
      <c r="AP19" s="339">
        <f t="shared" si="8"/>
        <v>2178.8960000000002</v>
      </c>
      <c r="AQ19" s="339">
        <f t="shared" si="8"/>
        <v>1431.6469999999999</v>
      </c>
      <c r="AR19" s="339">
        <f t="shared" si="8"/>
        <v>1700.885</v>
      </c>
      <c r="AS19" s="339">
        <f t="shared" si="8"/>
        <v>1357.557</v>
      </c>
      <c r="AT19" s="339">
        <f t="shared" si="8"/>
        <v>1805.854</v>
      </c>
      <c r="AU19" s="339">
        <f t="shared" si="8"/>
        <v>1652.7149999999999</v>
      </c>
      <c r="AV19" s="339">
        <f t="shared" si="8"/>
        <v>1592.568</v>
      </c>
      <c r="AW19" s="339">
        <f t="shared" si="8"/>
        <v>2205.4650000000001</v>
      </c>
      <c r="AX19" s="339">
        <f t="shared" si="8"/>
        <v>2144.1089999999999</v>
      </c>
      <c r="AY19" s="339">
        <f t="shared" si="8"/>
        <v>2120.5990000000002</v>
      </c>
      <c r="AZ19" s="340">
        <f t="shared" si="8"/>
        <v>1079.3340000000001</v>
      </c>
      <c r="BA19" s="342"/>
    </row>
    <row r="20" spans="3:53" s="151" customFormat="1" ht="18.75">
      <c r="C20" s="378"/>
      <c r="D20" s="379" t="s">
        <v>116</v>
      </c>
      <c r="E20" s="343">
        <f>E72-E73</f>
        <v>1192.4680000000008</v>
      </c>
      <c r="F20" s="343">
        <f t="shared" ref="F20:AB20" si="9">F72-F73</f>
        <v>1067.262999999999</v>
      </c>
      <c r="G20" s="343">
        <f t="shared" si="9"/>
        <v>989.15099999999802</v>
      </c>
      <c r="H20" s="346">
        <f t="shared" si="9"/>
        <v>1277.4849999999988</v>
      </c>
      <c r="I20" s="343">
        <f t="shared" si="9"/>
        <v>0</v>
      </c>
      <c r="J20" s="343">
        <f t="shared" si="9"/>
        <v>0</v>
      </c>
      <c r="K20" s="343">
        <f t="shared" si="9"/>
        <v>0</v>
      </c>
      <c r="L20" s="343">
        <f t="shared" si="9"/>
        <v>0</v>
      </c>
      <c r="M20" s="343">
        <f t="shared" si="9"/>
        <v>0</v>
      </c>
      <c r="N20" s="343">
        <f t="shared" si="9"/>
        <v>0</v>
      </c>
      <c r="O20" s="343">
        <f t="shared" si="9"/>
        <v>0</v>
      </c>
      <c r="P20" s="344">
        <f t="shared" si="9"/>
        <v>0</v>
      </c>
      <c r="Q20" s="345">
        <f t="shared" si="9"/>
        <v>1192.4680000000008</v>
      </c>
      <c r="R20" s="343">
        <f t="shared" si="9"/>
        <v>1067.262999999999</v>
      </c>
      <c r="S20" s="343">
        <f t="shared" si="9"/>
        <v>989.15099999999802</v>
      </c>
      <c r="T20" s="343">
        <f t="shared" si="9"/>
        <v>427.35199999999895</v>
      </c>
      <c r="U20" s="343">
        <f t="shared" si="9"/>
        <v>582.52999999999884</v>
      </c>
      <c r="V20" s="343">
        <f t="shared" si="9"/>
        <v>550.47000000000116</v>
      </c>
      <c r="W20" s="343">
        <f t="shared" si="9"/>
        <v>419.30800000000454</v>
      </c>
      <c r="X20" s="343">
        <f t="shared" si="9"/>
        <v>465.11299999999756</v>
      </c>
      <c r="Y20" s="343">
        <f t="shared" si="9"/>
        <v>434.15800000000309</v>
      </c>
      <c r="Z20" s="343">
        <f t="shared" si="9"/>
        <v>364.12700000000041</v>
      </c>
      <c r="AA20" s="343">
        <f t="shared" si="9"/>
        <v>219.24799999999959</v>
      </c>
      <c r="AB20" s="344">
        <f t="shared" si="9"/>
        <v>3.2219999999979336</v>
      </c>
      <c r="AC20" s="345">
        <f t="shared" ref="AC20:BA20" si="10">AC72-AC73</f>
        <v>1541.5080000000016</v>
      </c>
      <c r="AD20" s="343">
        <f t="shared" si="10"/>
        <v>1535.8349999999991</v>
      </c>
      <c r="AE20" s="343">
        <f t="shared" si="10"/>
        <v>1807.4570000000022</v>
      </c>
      <c r="AF20" s="343">
        <f t="shared" si="10"/>
        <v>2124.4259999999995</v>
      </c>
      <c r="AG20" s="343">
        <f t="shared" si="10"/>
        <v>2302.6039999999994</v>
      </c>
      <c r="AH20" s="343">
        <f t="shared" si="10"/>
        <v>2267.5440000000017</v>
      </c>
      <c r="AI20" s="343">
        <f t="shared" si="10"/>
        <v>2124.3819999999978</v>
      </c>
      <c r="AJ20" s="343">
        <f t="shared" si="10"/>
        <v>2176.1869999999981</v>
      </c>
      <c r="AK20" s="343">
        <f t="shared" si="10"/>
        <v>2148.2319999999963</v>
      </c>
      <c r="AL20" s="343">
        <f t="shared" si="10"/>
        <v>2067.2010000000009</v>
      </c>
      <c r="AM20" s="343">
        <f t="shared" si="10"/>
        <v>1901.3220000000001</v>
      </c>
      <c r="AN20" s="344">
        <f t="shared" si="10"/>
        <v>1659.2960000000021</v>
      </c>
      <c r="AO20" s="343">
        <f t="shared" si="10"/>
        <v>0</v>
      </c>
      <c r="AP20" s="343">
        <f t="shared" si="10"/>
        <v>1715.8339999999989</v>
      </c>
      <c r="AQ20" s="343">
        <f t="shared" si="10"/>
        <v>1959.497000000003</v>
      </c>
      <c r="AR20" s="343">
        <f t="shared" si="10"/>
        <v>2003.7589999999982</v>
      </c>
      <c r="AS20" s="343">
        <f t="shared" si="10"/>
        <v>1852.9540000000015</v>
      </c>
      <c r="AT20" s="343">
        <f t="shared" si="10"/>
        <v>1916.8410000000003</v>
      </c>
      <c r="AU20" s="343">
        <f t="shared" si="10"/>
        <v>1865.8779999999988</v>
      </c>
      <c r="AV20" s="343">
        <f t="shared" si="10"/>
        <v>1956.8320000000003</v>
      </c>
      <c r="AW20" s="343">
        <f t="shared" si="10"/>
        <v>1941.5720000000001</v>
      </c>
      <c r="AX20" s="343">
        <f t="shared" si="10"/>
        <v>1678.4290000000001</v>
      </c>
      <c r="AY20" s="343">
        <f t="shared" si="10"/>
        <v>1819.5580000000009</v>
      </c>
      <c r="AZ20" s="344">
        <f t="shared" si="10"/>
        <v>446.12099999999919</v>
      </c>
      <c r="BA20" s="346">
        <f t="shared" si="10"/>
        <v>1448</v>
      </c>
    </row>
    <row r="21" spans="3:53" s="150" customFormat="1" ht="18.75">
      <c r="C21" s="374" t="s">
        <v>99</v>
      </c>
      <c r="D21" s="380" t="s">
        <v>117</v>
      </c>
      <c r="E21" s="335">
        <f t="shared" ref="E21:AB21" si="11">-E76</f>
        <v>-18242.177</v>
      </c>
      <c r="F21" s="335">
        <f t="shared" si="11"/>
        <v>-24108.705000000002</v>
      </c>
      <c r="G21" s="335">
        <f t="shared" si="11"/>
        <v>-32499.37</v>
      </c>
      <c r="H21" s="338">
        <f t="shared" si="11"/>
        <v>-24223.484</v>
      </c>
      <c r="I21" s="335">
        <f t="shared" si="11"/>
        <v>0</v>
      </c>
      <c r="J21" s="335">
        <f t="shared" si="11"/>
        <v>0</v>
      </c>
      <c r="K21" s="335">
        <f t="shared" si="11"/>
        <v>0</v>
      </c>
      <c r="L21" s="335">
        <f t="shared" si="11"/>
        <v>0</v>
      </c>
      <c r="M21" s="335">
        <f t="shared" si="11"/>
        <v>0</v>
      </c>
      <c r="N21" s="335">
        <f t="shared" si="11"/>
        <v>0</v>
      </c>
      <c r="O21" s="335">
        <f t="shared" si="11"/>
        <v>0</v>
      </c>
      <c r="P21" s="336">
        <f t="shared" si="11"/>
        <v>0</v>
      </c>
      <c r="Q21" s="337">
        <f t="shared" si="11"/>
        <v>-18242.177</v>
      </c>
      <c r="R21" s="335">
        <f t="shared" si="11"/>
        <v>-24108.705000000002</v>
      </c>
      <c r="S21" s="335">
        <f t="shared" si="11"/>
        <v>-32499.37</v>
      </c>
      <c r="T21" s="335">
        <f t="shared" si="11"/>
        <v>-34865.803</v>
      </c>
      <c r="U21" s="335">
        <f t="shared" si="11"/>
        <v>-32881.955999999998</v>
      </c>
      <c r="V21" s="335">
        <f t="shared" si="11"/>
        <v>-30361.404999999999</v>
      </c>
      <c r="W21" s="335">
        <f t="shared" si="11"/>
        <v>-31295.681</v>
      </c>
      <c r="X21" s="335">
        <f t="shared" si="11"/>
        <v>-28917.366000000002</v>
      </c>
      <c r="Y21" s="335">
        <f t="shared" si="11"/>
        <v>-30627.788</v>
      </c>
      <c r="Z21" s="335">
        <f t="shared" si="11"/>
        <v>-31852.749</v>
      </c>
      <c r="AA21" s="335">
        <f t="shared" si="11"/>
        <v>-28711.188999999998</v>
      </c>
      <c r="AB21" s="336">
        <f t="shared" si="11"/>
        <v>-22494.737000000001</v>
      </c>
      <c r="AC21" s="337">
        <f t="shared" ref="AC21:BA21" si="12">-AC76</f>
        <v>-21345.685000000001</v>
      </c>
      <c r="AD21" s="335">
        <f t="shared" si="12"/>
        <v>-29450.3</v>
      </c>
      <c r="AE21" s="335">
        <f t="shared" si="12"/>
        <v>-32368.19</v>
      </c>
      <c r="AF21" s="335">
        <f t="shared" si="12"/>
        <v>-33702.002</v>
      </c>
      <c r="AG21" s="335">
        <f t="shared" si="12"/>
        <v>-32259.326000000001</v>
      </c>
      <c r="AH21" s="335">
        <f t="shared" si="12"/>
        <v>-30671.133999999998</v>
      </c>
      <c r="AI21" s="335">
        <f t="shared" si="12"/>
        <v>-31806.593000000001</v>
      </c>
      <c r="AJ21" s="335">
        <f t="shared" si="12"/>
        <v>-29461.846000000001</v>
      </c>
      <c r="AK21" s="335">
        <f t="shared" si="12"/>
        <v>-31161.491999999998</v>
      </c>
      <c r="AL21" s="335">
        <f t="shared" si="12"/>
        <v>-32475.641</v>
      </c>
      <c r="AM21" s="335">
        <f t="shared" si="12"/>
        <v>-29304.594000000001</v>
      </c>
      <c r="AN21" s="336">
        <f t="shared" si="12"/>
        <v>-22984.859</v>
      </c>
      <c r="AO21" s="335">
        <f t="shared" si="12"/>
        <v>-51.451999999999998</v>
      </c>
      <c r="AP21" s="335">
        <f t="shared" si="12"/>
        <v>-24995.394</v>
      </c>
      <c r="AQ21" s="335">
        <f t="shared" si="12"/>
        <v>-27627.433000000001</v>
      </c>
      <c r="AR21" s="335">
        <f t="shared" si="12"/>
        <v>-26148.199000000001</v>
      </c>
      <c r="AS21" s="335">
        <f t="shared" si="12"/>
        <v>-18444.345000000001</v>
      </c>
      <c r="AT21" s="335">
        <f t="shared" si="12"/>
        <v>-24725.964</v>
      </c>
      <c r="AU21" s="335">
        <f t="shared" si="12"/>
        <v>-21356.741999999998</v>
      </c>
      <c r="AV21" s="335">
        <f t="shared" si="12"/>
        <v>-19858.578000000001</v>
      </c>
      <c r="AW21" s="335">
        <f t="shared" si="12"/>
        <v>-24144.267</v>
      </c>
      <c r="AX21" s="335">
        <f t="shared" si="12"/>
        <v>-18040.101999999999</v>
      </c>
      <c r="AY21" s="335">
        <f t="shared" si="12"/>
        <v>-18264.816999999999</v>
      </c>
      <c r="AZ21" s="336">
        <f t="shared" si="12"/>
        <v>-20408.710999999999</v>
      </c>
      <c r="BA21" s="338">
        <f t="shared" si="12"/>
        <v>-21046.094000000001</v>
      </c>
    </row>
    <row r="22" spans="3:53" s="150" customFormat="1" ht="19.5" thickBot="1">
      <c r="C22" s="376"/>
      <c r="D22" s="381" t="s">
        <v>116</v>
      </c>
      <c r="E22" s="335">
        <f t="shared" ref="E22:AB22" si="13">-(E77-E78)</f>
        <v>-2508.4490000000005</v>
      </c>
      <c r="F22" s="335">
        <f t="shared" si="13"/>
        <v>-3623.1670000000013</v>
      </c>
      <c r="G22" s="335">
        <f t="shared" si="13"/>
        <v>-4105.4219999999987</v>
      </c>
      <c r="H22" s="338">
        <f t="shared" si="13"/>
        <v>-3261.0760000000009</v>
      </c>
      <c r="I22" s="335">
        <f t="shared" si="13"/>
        <v>0</v>
      </c>
      <c r="J22" s="335">
        <f t="shared" si="13"/>
        <v>0</v>
      </c>
      <c r="K22" s="335">
        <f t="shared" si="13"/>
        <v>0</v>
      </c>
      <c r="L22" s="335">
        <f t="shared" si="13"/>
        <v>0</v>
      </c>
      <c r="M22" s="335">
        <f t="shared" si="13"/>
        <v>0</v>
      </c>
      <c r="N22" s="335">
        <f t="shared" si="13"/>
        <v>0</v>
      </c>
      <c r="O22" s="335">
        <f t="shared" si="13"/>
        <v>0</v>
      </c>
      <c r="P22" s="336">
        <f t="shared" si="13"/>
        <v>0</v>
      </c>
      <c r="Q22" s="337">
        <f t="shared" si="13"/>
        <v>-2508.4490000000005</v>
      </c>
      <c r="R22" s="335">
        <f t="shared" si="13"/>
        <v>-3623.1670000000013</v>
      </c>
      <c r="S22" s="335">
        <f t="shared" si="13"/>
        <v>-4105.4219999999987</v>
      </c>
      <c r="T22" s="335">
        <f t="shared" si="13"/>
        <v>-3787.8199999999997</v>
      </c>
      <c r="U22" s="335">
        <f t="shared" si="13"/>
        <v>-3479.4969999999994</v>
      </c>
      <c r="V22" s="335">
        <f t="shared" si="13"/>
        <v>-3054.8410000000003</v>
      </c>
      <c r="W22" s="335">
        <f t="shared" si="13"/>
        <v>-3161.030999999999</v>
      </c>
      <c r="X22" s="335">
        <f t="shared" si="13"/>
        <v>-2932.4960000000028</v>
      </c>
      <c r="Y22" s="335">
        <f t="shared" si="13"/>
        <v>-3189.3250000000007</v>
      </c>
      <c r="Z22" s="335">
        <f t="shared" si="13"/>
        <v>-3550.1640000000007</v>
      </c>
      <c r="AA22" s="335">
        <f t="shared" si="13"/>
        <v>-3293.1589999999997</v>
      </c>
      <c r="AB22" s="336">
        <f t="shared" si="13"/>
        <v>-3445.5349999999999</v>
      </c>
      <c r="AC22" s="337">
        <f t="shared" ref="AC22:BA22" si="14">-(AC77-AC78)</f>
        <v>-2395</v>
      </c>
      <c r="AD22" s="335">
        <f t="shared" si="14"/>
        <v>-3681.2999999999993</v>
      </c>
      <c r="AE22" s="335">
        <f t="shared" si="14"/>
        <v>-3707.607</v>
      </c>
      <c r="AF22" s="335">
        <f t="shared" si="14"/>
        <v>-3952.9449999999997</v>
      </c>
      <c r="AG22" s="335">
        <f t="shared" si="14"/>
        <v>-3626.9710000000014</v>
      </c>
      <c r="AH22" s="335">
        <f t="shared" si="14"/>
        <v>-3154.4089999999997</v>
      </c>
      <c r="AI22" s="335">
        <f t="shared" si="14"/>
        <v>-3270.594000000001</v>
      </c>
      <c r="AJ22" s="335">
        <f t="shared" si="14"/>
        <v>-3044.3810000000012</v>
      </c>
      <c r="AK22" s="335">
        <f t="shared" si="14"/>
        <v>-3287.8319999999985</v>
      </c>
      <c r="AL22" s="335">
        <f t="shared" si="14"/>
        <v>-3635.3090000000011</v>
      </c>
      <c r="AM22" s="335">
        <f t="shared" si="14"/>
        <v>-3396.4720000000016</v>
      </c>
      <c r="AN22" s="336">
        <f t="shared" si="14"/>
        <v>-3548.5519999999997</v>
      </c>
      <c r="AO22" s="335">
        <f t="shared" si="14"/>
        <v>0</v>
      </c>
      <c r="AP22" s="335">
        <f t="shared" si="14"/>
        <v>-3680.0299999999988</v>
      </c>
      <c r="AQ22" s="335">
        <f t="shared" si="14"/>
        <v>-4112.1330000000016</v>
      </c>
      <c r="AR22" s="335">
        <f t="shared" si="14"/>
        <v>-3408.2060000000019</v>
      </c>
      <c r="AS22" s="335">
        <f t="shared" si="14"/>
        <v>-3375.2290000000012</v>
      </c>
      <c r="AT22" s="335">
        <f t="shared" si="14"/>
        <v>-3175.5639999999985</v>
      </c>
      <c r="AU22" s="335">
        <f t="shared" si="14"/>
        <v>-3201.7829999999994</v>
      </c>
      <c r="AV22" s="335">
        <f t="shared" si="14"/>
        <v>-3093.260000000002</v>
      </c>
      <c r="AW22" s="335">
        <f t="shared" si="14"/>
        <v>-2589.732</v>
      </c>
      <c r="AX22" s="335">
        <f t="shared" si="14"/>
        <v>-1262.6029999999992</v>
      </c>
      <c r="AY22" s="335">
        <f t="shared" si="14"/>
        <v>-1446.3220000000001</v>
      </c>
      <c r="AZ22" s="336">
        <f t="shared" si="14"/>
        <v>-1858.1919999999991</v>
      </c>
      <c r="BA22" s="338">
        <f t="shared" si="14"/>
        <v>-1410</v>
      </c>
    </row>
    <row r="23" spans="3:53" s="320" customFormat="1" ht="19.5" thickBot="1">
      <c r="C23" s="382" t="s">
        <v>110</v>
      </c>
      <c r="D23" s="383" t="s">
        <v>115</v>
      </c>
      <c r="E23" s="327">
        <f t="shared" ref="E23:AB23" si="15">E16+E17+E21</f>
        <v>24747.141820000001</v>
      </c>
      <c r="F23" s="327">
        <f t="shared" si="15"/>
        <v>24214.004349999996</v>
      </c>
      <c r="G23" s="327">
        <f t="shared" si="15"/>
        <v>24044.724659999996</v>
      </c>
      <c r="H23" s="330">
        <f t="shared" si="15"/>
        <v>31688.098820000003</v>
      </c>
      <c r="I23" s="327">
        <f t="shared" si="15"/>
        <v>0</v>
      </c>
      <c r="J23" s="327">
        <f t="shared" si="15"/>
        <v>0</v>
      </c>
      <c r="K23" s="327">
        <f t="shared" si="15"/>
        <v>0</v>
      </c>
      <c r="L23" s="327">
        <f t="shared" si="15"/>
        <v>0</v>
      </c>
      <c r="M23" s="327">
        <f t="shared" si="15"/>
        <v>0</v>
      </c>
      <c r="N23" s="327">
        <f t="shared" si="15"/>
        <v>0</v>
      </c>
      <c r="O23" s="327">
        <f t="shared" si="15"/>
        <v>0</v>
      </c>
      <c r="P23" s="327">
        <f t="shared" si="15"/>
        <v>0</v>
      </c>
      <c r="Q23" s="328">
        <f t="shared" si="15"/>
        <v>24747.141820000001</v>
      </c>
      <c r="R23" s="327">
        <f t="shared" si="15"/>
        <v>24214.004349999996</v>
      </c>
      <c r="S23" s="327">
        <f t="shared" si="15"/>
        <v>24044.724659999996</v>
      </c>
      <c r="T23" s="327">
        <f t="shared" si="15"/>
        <v>31790.756999999998</v>
      </c>
      <c r="U23" s="327">
        <f t="shared" si="15"/>
        <v>32325.302000000003</v>
      </c>
      <c r="V23" s="327">
        <f t="shared" si="15"/>
        <v>32155.707999999999</v>
      </c>
      <c r="W23" s="327">
        <f t="shared" si="15"/>
        <v>29098.136999999999</v>
      </c>
      <c r="X23" s="327">
        <f t="shared" si="15"/>
        <v>30087.839</v>
      </c>
      <c r="Y23" s="327">
        <f t="shared" si="15"/>
        <v>28004.529000000002</v>
      </c>
      <c r="Z23" s="327">
        <f t="shared" si="15"/>
        <v>25175.982</v>
      </c>
      <c r="AA23" s="327">
        <f t="shared" si="15"/>
        <v>25138.482000000004</v>
      </c>
      <c r="AB23" s="329">
        <f t="shared" si="15"/>
        <v>21383.370999999999</v>
      </c>
      <c r="AC23" s="328">
        <f t="shared" ref="AC23:BA23" si="16">AC16+AC17+AC21</f>
        <v>28468.941999999992</v>
      </c>
      <c r="AD23" s="327">
        <f t="shared" si="16"/>
        <v>25328.738999999998</v>
      </c>
      <c r="AE23" s="327">
        <f t="shared" si="16"/>
        <v>27995.418000000001</v>
      </c>
      <c r="AF23" s="327">
        <f t="shared" si="16"/>
        <v>32690.690999999999</v>
      </c>
      <c r="AG23" s="327">
        <f t="shared" si="16"/>
        <v>34293.035000000003</v>
      </c>
      <c r="AH23" s="327">
        <f t="shared" si="16"/>
        <v>34446.090000000004</v>
      </c>
      <c r="AI23" s="327">
        <f t="shared" si="16"/>
        <v>31654.136999999995</v>
      </c>
      <c r="AJ23" s="327">
        <f t="shared" si="16"/>
        <v>33157.989000000001</v>
      </c>
      <c r="AK23" s="327">
        <f t="shared" si="16"/>
        <v>31080.828000000001</v>
      </c>
      <c r="AL23" s="327">
        <f t="shared" si="16"/>
        <v>28050.982</v>
      </c>
      <c r="AM23" s="327">
        <f t="shared" si="16"/>
        <v>28210.631000000005</v>
      </c>
      <c r="AN23" s="329">
        <f t="shared" si="16"/>
        <v>24303.670000000002</v>
      </c>
      <c r="AO23" s="327">
        <f t="shared" si="16"/>
        <v>1631.817</v>
      </c>
      <c r="AP23" s="327">
        <f t="shared" si="16"/>
        <v>38967.991337400003</v>
      </c>
      <c r="AQ23" s="327">
        <f t="shared" si="16"/>
        <v>37466.217796799989</v>
      </c>
      <c r="AR23" s="327">
        <f t="shared" si="16"/>
        <v>36423.756000000001</v>
      </c>
      <c r="AS23" s="327">
        <f t="shared" si="16"/>
        <v>39496.633789999993</v>
      </c>
      <c r="AT23" s="327">
        <f t="shared" si="16"/>
        <v>32319.879609999996</v>
      </c>
      <c r="AU23" s="327">
        <f t="shared" si="16"/>
        <v>35527.305010000004</v>
      </c>
      <c r="AV23" s="327">
        <f t="shared" si="16"/>
        <v>35312.683219999999</v>
      </c>
      <c r="AW23" s="327">
        <f t="shared" si="16"/>
        <v>30690.992570000002</v>
      </c>
      <c r="AX23" s="327">
        <f t="shared" si="16"/>
        <v>37114.059989999994</v>
      </c>
      <c r="AY23" s="327">
        <f t="shared" si="16"/>
        <v>34116.813089999996</v>
      </c>
      <c r="AZ23" s="329">
        <f t="shared" si="16"/>
        <v>21993.915300000004</v>
      </c>
      <c r="BA23" s="330">
        <f t="shared" si="16"/>
        <v>31658.121999999999</v>
      </c>
    </row>
    <row r="24" spans="3:53" s="150" customFormat="1" ht="18.75">
      <c r="C24" s="374" t="s">
        <v>94</v>
      </c>
      <c r="D24" s="380" t="s">
        <v>114</v>
      </c>
      <c r="E24" s="335">
        <f t="shared" ref="E24:AB24" si="17">E79</f>
        <v>7293.3580000000002</v>
      </c>
      <c r="F24" s="335">
        <f t="shared" si="17"/>
        <v>7568.3069999999998</v>
      </c>
      <c r="G24" s="335">
        <f t="shared" si="17"/>
        <v>7711.4</v>
      </c>
      <c r="H24" s="338">
        <f t="shared" si="17"/>
        <v>3439.3139999999999</v>
      </c>
      <c r="I24" s="335">
        <f t="shared" si="17"/>
        <v>0</v>
      </c>
      <c r="J24" s="335">
        <f t="shared" si="17"/>
        <v>0</v>
      </c>
      <c r="K24" s="335">
        <f t="shared" si="17"/>
        <v>0</v>
      </c>
      <c r="L24" s="335">
        <f t="shared" si="17"/>
        <v>0</v>
      </c>
      <c r="M24" s="335">
        <f t="shared" si="17"/>
        <v>0</v>
      </c>
      <c r="N24" s="335">
        <f t="shared" si="17"/>
        <v>0</v>
      </c>
      <c r="O24" s="335">
        <f t="shared" si="17"/>
        <v>0</v>
      </c>
      <c r="P24" s="336">
        <f t="shared" si="17"/>
        <v>0</v>
      </c>
      <c r="Q24" s="337">
        <f t="shared" si="17"/>
        <v>7293.3580000000002</v>
      </c>
      <c r="R24" s="335">
        <f t="shared" si="17"/>
        <v>7568.3069999999998</v>
      </c>
      <c r="S24" s="335">
        <f t="shared" si="17"/>
        <v>7711.4</v>
      </c>
      <c r="T24" s="335">
        <f t="shared" si="17"/>
        <v>2196.625</v>
      </c>
      <c r="U24" s="335">
        <f t="shared" si="17"/>
        <v>2104.3049999999998</v>
      </c>
      <c r="V24" s="335">
        <f t="shared" si="17"/>
        <v>2050.9850000000001</v>
      </c>
      <c r="W24" s="335">
        <f t="shared" si="17"/>
        <v>2094.4160000000002</v>
      </c>
      <c r="X24" s="335">
        <f t="shared" si="17"/>
        <v>2000.096</v>
      </c>
      <c r="Y24" s="335">
        <f t="shared" si="17"/>
        <v>2024.7760000000001</v>
      </c>
      <c r="Z24" s="335">
        <f t="shared" si="17"/>
        <v>2086.1010000000001</v>
      </c>
      <c r="AA24" s="335">
        <f t="shared" si="17"/>
        <v>2000.7809999999999</v>
      </c>
      <c r="AB24" s="336">
        <f t="shared" si="17"/>
        <v>1577.461</v>
      </c>
      <c r="AC24" s="337">
        <f t="shared" ref="AC24:BA24" si="18">AC79</f>
        <v>5093.5950000000003</v>
      </c>
      <c r="AD24" s="335">
        <f t="shared" si="18"/>
        <v>5313.558</v>
      </c>
      <c r="AE24" s="335">
        <f t="shared" si="18"/>
        <v>5380.6210000000001</v>
      </c>
      <c r="AF24" s="335">
        <f t="shared" si="18"/>
        <v>1474.1130000000001</v>
      </c>
      <c r="AG24" s="335">
        <f t="shared" si="18"/>
        <v>1452.1759999999999</v>
      </c>
      <c r="AH24" s="335">
        <f t="shared" si="18"/>
        <v>1494.1389999999999</v>
      </c>
      <c r="AI24" s="335">
        <f t="shared" si="18"/>
        <v>1502.99</v>
      </c>
      <c r="AJ24" s="335">
        <f t="shared" si="18"/>
        <v>1464.19</v>
      </c>
      <c r="AK24" s="335">
        <f t="shared" si="18"/>
        <v>1444.29</v>
      </c>
      <c r="AL24" s="335">
        <f t="shared" si="18"/>
        <v>1436.0350000000001</v>
      </c>
      <c r="AM24" s="335">
        <f t="shared" si="18"/>
        <v>1451.2349999999999</v>
      </c>
      <c r="AN24" s="336">
        <f t="shared" si="18"/>
        <v>1213.335</v>
      </c>
      <c r="AO24" s="335">
        <f t="shared" si="18"/>
        <v>325.52100000000002</v>
      </c>
      <c r="AP24" s="335">
        <f t="shared" si="18"/>
        <v>6974.2219999999998</v>
      </c>
      <c r="AQ24" s="335">
        <f t="shared" si="18"/>
        <v>8020.1710000000003</v>
      </c>
      <c r="AR24" s="335">
        <f t="shared" si="18"/>
        <v>4347.317</v>
      </c>
      <c r="AS24" s="335">
        <f t="shared" si="18"/>
        <v>3955.9380000000001</v>
      </c>
      <c r="AT24" s="335">
        <f t="shared" si="18"/>
        <v>5141.8890000000001</v>
      </c>
      <c r="AU24" s="335">
        <f t="shared" si="18"/>
        <v>4898.1559999999999</v>
      </c>
      <c r="AV24" s="335">
        <f t="shared" si="18"/>
        <v>4362.2640000000001</v>
      </c>
      <c r="AW24" s="335">
        <f t="shared" si="18"/>
        <v>6027.665</v>
      </c>
      <c r="AX24" s="335">
        <f t="shared" si="18"/>
        <v>5662.2030000000004</v>
      </c>
      <c r="AY24" s="335">
        <f t="shared" si="18"/>
        <v>6017.5889999999999</v>
      </c>
      <c r="AZ24" s="336">
        <f t="shared" si="18"/>
        <v>7258.7219999999998</v>
      </c>
      <c r="BA24" s="338">
        <f t="shared" si="18"/>
        <v>6945.0219999999999</v>
      </c>
    </row>
    <row r="25" spans="3:53" s="150" customFormat="1" ht="18.75">
      <c r="C25" s="378"/>
      <c r="D25" s="379" t="s">
        <v>113</v>
      </c>
      <c r="E25" s="347">
        <f t="shared" ref="E25:AB25" si="19">E80-E81</f>
        <v>4232.0480000000007</v>
      </c>
      <c r="F25" s="347">
        <f t="shared" si="19"/>
        <v>4279.875</v>
      </c>
      <c r="G25" s="347">
        <f t="shared" si="19"/>
        <v>3909.6509999999998</v>
      </c>
      <c r="H25" s="350">
        <f t="shared" si="19"/>
        <v>0</v>
      </c>
      <c r="I25" s="347">
        <f t="shared" si="19"/>
        <v>0</v>
      </c>
      <c r="J25" s="347">
        <f t="shared" si="19"/>
        <v>0</v>
      </c>
      <c r="K25" s="347">
        <f t="shared" si="19"/>
        <v>0</v>
      </c>
      <c r="L25" s="347">
        <f t="shared" si="19"/>
        <v>0</v>
      </c>
      <c r="M25" s="347">
        <f t="shared" si="19"/>
        <v>0</v>
      </c>
      <c r="N25" s="347">
        <f t="shared" si="19"/>
        <v>0</v>
      </c>
      <c r="O25" s="347">
        <f t="shared" si="19"/>
        <v>0</v>
      </c>
      <c r="P25" s="348">
        <f t="shared" si="19"/>
        <v>0</v>
      </c>
      <c r="Q25" s="349">
        <f t="shared" si="19"/>
        <v>4232.0480000000007</v>
      </c>
      <c r="R25" s="347">
        <f t="shared" si="19"/>
        <v>4279.875</v>
      </c>
      <c r="S25" s="347">
        <f t="shared" si="19"/>
        <v>3909.6509999999998</v>
      </c>
      <c r="T25" s="347">
        <f t="shared" si="19"/>
        <v>0</v>
      </c>
      <c r="U25" s="347">
        <f t="shared" si="19"/>
        <v>0</v>
      </c>
      <c r="V25" s="347">
        <f t="shared" si="19"/>
        <v>0</v>
      </c>
      <c r="W25" s="347">
        <f t="shared" si="19"/>
        <v>0</v>
      </c>
      <c r="X25" s="347">
        <f t="shared" si="19"/>
        <v>0</v>
      </c>
      <c r="Y25" s="347">
        <f t="shared" si="19"/>
        <v>0</v>
      </c>
      <c r="Z25" s="347">
        <f t="shared" si="19"/>
        <v>0</v>
      </c>
      <c r="AA25" s="347">
        <f t="shared" si="19"/>
        <v>0</v>
      </c>
      <c r="AB25" s="348">
        <f t="shared" si="19"/>
        <v>0</v>
      </c>
      <c r="AC25" s="349">
        <f t="shared" ref="AC25:BA25" si="20">AC80-AC81</f>
        <v>3871.3270000000002</v>
      </c>
      <c r="AD25" s="347">
        <f t="shared" si="20"/>
        <v>3871.3270000000002</v>
      </c>
      <c r="AE25" s="347">
        <f t="shared" si="20"/>
        <v>3871.3270000000002</v>
      </c>
      <c r="AF25" s="347">
        <f t="shared" si="20"/>
        <v>0</v>
      </c>
      <c r="AG25" s="347">
        <f t="shared" si="20"/>
        <v>0</v>
      </c>
      <c r="AH25" s="347">
        <f t="shared" si="20"/>
        <v>0</v>
      </c>
      <c r="AI25" s="347">
        <f t="shared" si="20"/>
        <v>0</v>
      </c>
      <c r="AJ25" s="347">
        <f t="shared" si="20"/>
        <v>0</v>
      </c>
      <c r="AK25" s="347">
        <f t="shared" si="20"/>
        <v>0</v>
      </c>
      <c r="AL25" s="347">
        <f t="shared" si="20"/>
        <v>0</v>
      </c>
      <c r="AM25" s="347">
        <f t="shared" si="20"/>
        <v>0</v>
      </c>
      <c r="AN25" s="348">
        <f t="shared" si="20"/>
        <v>0</v>
      </c>
      <c r="AO25" s="347">
        <f t="shared" si="20"/>
        <v>0</v>
      </c>
      <c r="AP25" s="347">
        <f t="shared" si="20"/>
        <v>2989.7139999999999</v>
      </c>
      <c r="AQ25" s="347">
        <f t="shared" si="20"/>
        <v>4252.7660000000005</v>
      </c>
      <c r="AR25" s="347">
        <f t="shared" si="20"/>
        <v>919.43600000000004</v>
      </c>
      <c r="AS25" s="347">
        <f t="shared" si="20"/>
        <v>988.58600000000001</v>
      </c>
      <c r="AT25" s="347">
        <f t="shared" si="20"/>
        <v>2003.5010000000002</v>
      </c>
      <c r="AU25" s="347">
        <f t="shared" si="20"/>
        <v>1980.0479999999998</v>
      </c>
      <c r="AV25" s="347">
        <f t="shared" si="20"/>
        <v>1724.106</v>
      </c>
      <c r="AW25" s="347">
        <f t="shared" si="20"/>
        <v>2794.7760000000003</v>
      </c>
      <c r="AX25" s="347">
        <f t="shared" si="20"/>
        <v>2775.413</v>
      </c>
      <c r="AY25" s="347">
        <f t="shared" si="20"/>
        <v>3114.172</v>
      </c>
      <c r="AZ25" s="348">
        <f>AZ80-AZ81</f>
        <v>4279.875</v>
      </c>
      <c r="BA25" s="350">
        <f t="shared" si="20"/>
        <v>3871.3270000000002</v>
      </c>
    </row>
    <row r="26" spans="3:53" s="150" customFormat="1" ht="18.75">
      <c r="C26" s="374" t="s">
        <v>99</v>
      </c>
      <c r="D26" s="380" t="s">
        <v>112</v>
      </c>
      <c r="E26" s="335">
        <f t="shared" ref="E26:AB26" si="21">-E82</f>
        <v>-19357.374</v>
      </c>
      <c r="F26" s="335">
        <f t="shared" si="21"/>
        <v>-20744.812999999998</v>
      </c>
      <c r="G26" s="335">
        <f t="shared" si="21"/>
        <v>-22401.272000000001</v>
      </c>
      <c r="H26" s="338">
        <f t="shared" si="21"/>
        <v>-20093.988000000001</v>
      </c>
      <c r="I26" s="335">
        <f t="shared" si="21"/>
        <v>0</v>
      </c>
      <c r="J26" s="335">
        <f t="shared" si="21"/>
        <v>0</v>
      </c>
      <c r="K26" s="335">
        <f t="shared" si="21"/>
        <v>0</v>
      </c>
      <c r="L26" s="335">
        <f t="shared" si="21"/>
        <v>0</v>
      </c>
      <c r="M26" s="335">
        <f t="shared" si="21"/>
        <v>0</v>
      </c>
      <c r="N26" s="335">
        <f t="shared" si="21"/>
        <v>0</v>
      </c>
      <c r="O26" s="335">
        <f t="shared" si="21"/>
        <v>0</v>
      </c>
      <c r="P26" s="336">
        <f t="shared" si="21"/>
        <v>0</v>
      </c>
      <c r="Q26" s="337">
        <f t="shared" si="21"/>
        <v>-19357.374</v>
      </c>
      <c r="R26" s="335">
        <f t="shared" si="21"/>
        <v>-20744.812999999998</v>
      </c>
      <c r="S26" s="335">
        <f t="shared" si="21"/>
        <v>-22401.272000000001</v>
      </c>
      <c r="T26" s="335">
        <f t="shared" si="21"/>
        <v>-18232.924999999999</v>
      </c>
      <c r="U26" s="335">
        <f t="shared" si="21"/>
        <v>-18676.924999999999</v>
      </c>
      <c r="V26" s="335">
        <f t="shared" si="21"/>
        <v>-19676.924999999999</v>
      </c>
      <c r="W26" s="335">
        <f t="shared" si="21"/>
        <v>-19264.924999999999</v>
      </c>
      <c r="X26" s="335">
        <f t="shared" si="21"/>
        <v>-18746.924999999999</v>
      </c>
      <c r="Y26" s="335">
        <f t="shared" si="21"/>
        <v>-19350.924999999999</v>
      </c>
      <c r="Z26" s="335">
        <f t="shared" si="21"/>
        <v>-19777.924999999999</v>
      </c>
      <c r="AA26" s="335">
        <f t="shared" si="21"/>
        <v>-19791.924999999999</v>
      </c>
      <c r="AB26" s="336">
        <f t="shared" si="21"/>
        <v>-17736.924999999999</v>
      </c>
      <c r="AC26" s="337">
        <f t="shared" ref="AC26:BA26" si="22">-AC82</f>
        <v>-18703.059000000001</v>
      </c>
      <c r="AD26" s="335">
        <f t="shared" si="22"/>
        <v>-19554.059000000001</v>
      </c>
      <c r="AE26" s="335">
        <f t="shared" si="22"/>
        <v>-20609.059000000001</v>
      </c>
      <c r="AF26" s="335">
        <f t="shared" si="22"/>
        <v>-18685.454000000002</v>
      </c>
      <c r="AG26" s="335">
        <f t="shared" si="22"/>
        <v>-18936.454000000002</v>
      </c>
      <c r="AH26" s="335">
        <f t="shared" si="22"/>
        <v>-20058.454000000002</v>
      </c>
      <c r="AI26" s="335">
        <f t="shared" si="22"/>
        <v>-19734.454000000002</v>
      </c>
      <c r="AJ26" s="335">
        <f t="shared" si="22"/>
        <v>-19031.454000000002</v>
      </c>
      <c r="AK26" s="335">
        <f t="shared" si="22"/>
        <v>-19849.454000000002</v>
      </c>
      <c r="AL26" s="335">
        <f t="shared" si="22"/>
        <v>-20160.454000000002</v>
      </c>
      <c r="AM26" s="335">
        <f t="shared" si="22"/>
        <v>-20014.454000000002</v>
      </c>
      <c r="AN26" s="336">
        <f t="shared" si="22"/>
        <v>-17725.454000000002</v>
      </c>
      <c r="AO26" s="335">
        <f t="shared" si="22"/>
        <v>-8378.61</v>
      </c>
      <c r="AP26" s="335">
        <f t="shared" si="22"/>
        <v>-24873.002</v>
      </c>
      <c r="AQ26" s="335">
        <f t="shared" si="22"/>
        <v>-26328.598999999998</v>
      </c>
      <c r="AR26" s="335">
        <f t="shared" si="22"/>
        <v>-23367.953000000001</v>
      </c>
      <c r="AS26" s="335">
        <f t="shared" si="22"/>
        <v>-23206.653999999999</v>
      </c>
      <c r="AT26" s="335">
        <f t="shared" si="22"/>
        <v>-23015.802</v>
      </c>
      <c r="AU26" s="335">
        <f t="shared" si="22"/>
        <v>-20958.878000000001</v>
      </c>
      <c r="AV26" s="335">
        <f t="shared" si="22"/>
        <v>-21935.665000000001</v>
      </c>
      <c r="AW26" s="335">
        <f t="shared" si="22"/>
        <v>-23179.073</v>
      </c>
      <c r="AX26" s="335">
        <f t="shared" si="22"/>
        <v>-22158.037</v>
      </c>
      <c r="AY26" s="335">
        <f t="shared" si="22"/>
        <v>-23464.921999999999</v>
      </c>
      <c r="AZ26" s="336">
        <f t="shared" si="22"/>
        <v>-21677.964</v>
      </c>
      <c r="BA26" s="338">
        <f t="shared" si="22"/>
        <v>-21453.723999999998</v>
      </c>
    </row>
    <row r="27" spans="3:53" s="150" customFormat="1" ht="19.5" thickBot="1">
      <c r="C27" s="376"/>
      <c r="D27" s="381" t="s">
        <v>111</v>
      </c>
      <c r="E27" s="335">
        <f t="shared" ref="E27:AB27" si="23">-(E83-E84)</f>
        <v>2.692882886267526</v>
      </c>
      <c r="F27" s="335">
        <f t="shared" si="23"/>
        <v>0.88694527079875485</v>
      </c>
      <c r="G27" s="335">
        <f t="shared" si="23"/>
        <v>1.7021023305886729E-2</v>
      </c>
      <c r="H27" s="338">
        <f t="shared" si="23"/>
        <v>-593.90596372439916</v>
      </c>
      <c r="I27" s="335">
        <f t="shared" si="23"/>
        <v>0</v>
      </c>
      <c r="J27" s="335">
        <f t="shared" si="23"/>
        <v>0</v>
      </c>
      <c r="K27" s="335">
        <f t="shared" si="23"/>
        <v>0</v>
      </c>
      <c r="L27" s="335">
        <f t="shared" si="23"/>
        <v>0</v>
      </c>
      <c r="M27" s="335">
        <f t="shared" si="23"/>
        <v>0</v>
      </c>
      <c r="N27" s="335">
        <f t="shared" si="23"/>
        <v>0</v>
      </c>
      <c r="O27" s="335">
        <f t="shared" si="23"/>
        <v>0</v>
      </c>
      <c r="P27" s="336">
        <f t="shared" si="23"/>
        <v>0</v>
      </c>
      <c r="Q27" s="337">
        <f t="shared" si="23"/>
        <v>2.692882886267526</v>
      </c>
      <c r="R27" s="335">
        <f t="shared" si="23"/>
        <v>0.88694527079875485</v>
      </c>
      <c r="S27" s="335">
        <f t="shared" si="23"/>
        <v>1.7021023309624184E-2</v>
      </c>
      <c r="T27" s="335">
        <f t="shared" si="23"/>
        <v>-410.00248312402755</v>
      </c>
      <c r="U27" s="335">
        <f t="shared" si="23"/>
        <v>-410.00186109017449</v>
      </c>
      <c r="V27" s="335">
        <f t="shared" si="23"/>
        <v>-400.00191657177828</v>
      </c>
      <c r="W27" s="335">
        <f t="shared" si="23"/>
        <v>-700.00099224164512</v>
      </c>
      <c r="X27" s="335">
        <f t="shared" si="23"/>
        <v>-800.00162592261643</v>
      </c>
      <c r="Y27" s="335">
        <f t="shared" si="23"/>
        <v>-980.00234685390967</v>
      </c>
      <c r="Z27" s="335">
        <f t="shared" si="23"/>
        <v>-1000.0025004970284</v>
      </c>
      <c r="AA27" s="335">
        <f t="shared" si="23"/>
        <v>-700.00101864385977</v>
      </c>
      <c r="AB27" s="336">
        <f t="shared" si="23"/>
        <v>-240.00166556960789</v>
      </c>
      <c r="AC27" s="337">
        <f t="shared" ref="AC27:BA27" si="24">-(AC83-AC84)</f>
        <v>-9.9999999994793143E-4</v>
      </c>
      <c r="AD27" s="335">
        <f t="shared" si="24"/>
        <v>-1.3471232698449853E-3</v>
      </c>
      <c r="AE27" s="335">
        <f t="shared" si="24"/>
        <v>-30.000580918056688</v>
      </c>
      <c r="AF27" s="335">
        <f t="shared" si="24"/>
        <v>-410.00080143969251</v>
      </c>
      <c r="AG27" s="335">
        <f t="shared" si="24"/>
        <v>-410.00141699003996</v>
      </c>
      <c r="AH27" s="335">
        <f t="shared" si="24"/>
        <v>-400.00073915492015</v>
      </c>
      <c r="AI27" s="335">
        <f t="shared" si="24"/>
        <v>-700.00073443057101</v>
      </c>
      <c r="AJ27" s="335">
        <f t="shared" si="24"/>
        <v>-800.00085937598033</v>
      </c>
      <c r="AK27" s="335">
        <f t="shared" si="24"/>
        <v>-980.00146622576881</v>
      </c>
      <c r="AL27" s="335">
        <f t="shared" si="24"/>
        <v>-1000.0007094580744</v>
      </c>
      <c r="AM27" s="335">
        <f t="shared" si="24"/>
        <v>-700.00133830674736</v>
      </c>
      <c r="AN27" s="336">
        <f t="shared" si="24"/>
        <v>-240.00068576888654</v>
      </c>
      <c r="AO27" s="335">
        <f t="shared" si="24"/>
        <v>2.0000000000290896E-3</v>
      </c>
      <c r="AP27" s="335">
        <f t="shared" si="24"/>
        <v>-47.397100967593133</v>
      </c>
      <c r="AQ27" s="335">
        <f t="shared" si="24"/>
        <v>20.052533602632593</v>
      </c>
      <c r="AR27" s="335">
        <f t="shared" si="24"/>
        <v>0.63700711668673193</v>
      </c>
      <c r="AS27" s="335">
        <f t="shared" si="24"/>
        <v>-46.341377022437541</v>
      </c>
      <c r="AT27" s="335">
        <f t="shared" si="24"/>
        <v>9.5172908953508113</v>
      </c>
      <c r="AU27" s="335">
        <f t="shared" si="24"/>
        <v>19.587639528564239</v>
      </c>
      <c r="AV27" s="335">
        <f t="shared" si="24"/>
        <v>-7.5002760671022202</v>
      </c>
      <c r="AW27" s="335">
        <f t="shared" si="24"/>
        <v>0.46741852350294266</v>
      </c>
      <c r="AX27" s="335">
        <f t="shared" si="24"/>
        <v>21.058258596708413</v>
      </c>
      <c r="AY27" s="335">
        <f t="shared" si="24"/>
        <v>19.893772636839628</v>
      </c>
      <c r="AZ27" s="336">
        <f t="shared" si="24"/>
        <v>0.93686125605938742</v>
      </c>
      <c r="BA27" s="338">
        <f t="shared" si="24"/>
        <v>8.1703413229661237E-5</v>
      </c>
    </row>
    <row r="28" spans="3:53" s="320" customFormat="1" ht="19.5" thickBot="1">
      <c r="C28" s="382" t="s">
        <v>110</v>
      </c>
      <c r="D28" s="383" t="s">
        <v>109</v>
      </c>
      <c r="E28" s="327">
        <f t="shared" ref="E28:AB28" si="25">E23+E24+E26</f>
        <v>12683.125820000001</v>
      </c>
      <c r="F28" s="327">
        <f t="shared" si="25"/>
        <v>11037.498349999998</v>
      </c>
      <c r="G28" s="327">
        <f t="shared" si="25"/>
        <v>9354.8526599999932</v>
      </c>
      <c r="H28" s="330">
        <f t="shared" si="25"/>
        <v>15033.424820000004</v>
      </c>
      <c r="I28" s="327">
        <f t="shared" si="25"/>
        <v>0</v>
      </c>
      <c r="J28" s="327">
        <f t="shared" si="25"/>
        <v>0</v>
      </c>
      <c r="K28" s="327">
        <f t="shared" si="25"/>
        <v>0</v>
      </c>
      <c r="L28" s="327">
        <f t="shared" si="25"/>
        <v>0</v>
      </c>
      <c r="M28" s="327">
        <f t="shared" si="25"/>
        <v>0</v>
      </c>
      <c r="N28" s="327">
        <f t="shared" si="25"/>
        <v>0</v>
      </c>
      <c r="O28" s="327">
        <f t="shared" si="25"/>
        <v>0</v>
      </c>
      <c r="P28" s="327">
        <f t="shared" si="25"/>
        <v>0</v>
      </c>
      <c r="Q28" s="328">
        <f t="shared" si="25"/>
        <v>12683.125820000001</v>
      </c>
      <c r="R28" s="327">
        <f t="shared" si="25"/>
        <v>11037.498349999998</v>
      </c>
      <c r="S28" s="327">
        <f t="shared" si="25"/>
        <v>9354.8526599999932</v>
      </c>
      <c r="T28" s="327">
        <f t="shared" si="25"/>
        <v>15754.456999999999</v>
      </c>
      <c r="U28" s="327">
        <f t="shared" si="25"/>
        <v>15752.682000000004</v>
      </c>
      <c r="V28" s="327">
        <f t="shared" si="25"/>
        <v>14529.768</v>
      </c>
      <c r="W28" s="327">
        <f t="shared" si="25"/>
        <v>11927.628000000001</v>
      </c>
      <c r="X28" s="327">
        <f t="shared" si="25"/>
        <v>13341.010000000002</v>
      </c>
      <c r="Y28" s="327">
        <f t="shared" si="25"/>
        <v>10678.380000000005</v>
      </c>
      <c r="Z28" s="327">
        <f t="shared" si="25"/>
        <v>7484.1579999999994</v>
      </c>
      <c r="AA28" s="327">
        <f t="shared" si="25"/>
        <v>7347.3380000000034</v>
      </c>
      <c r="AB28" s="329">
        <f t="shared" si="25"/>
        <v>5223.9069999999992</v>
      </c>
      <c r="AC28" s="328">
        <f t="shared" ref="AC28:BA28" si="26">AC23+AC24+AC26</f>
        <v>14859.477999999988</v>
      </c>
      <c r="AD28" s="327">
        <f t="shared" si="26"/>
        <v>11088.237999999998</v>
      </c>
      <c r="AE28" s="327">
        <f t="shared" si="26"/>
        <v>12766.980000000003</v>
      </c>
      <c r="AF28" s="327">
        <f t="shared" si="26"/>
        <v>15479.349999999995</v>
      </c>
      <c r="AG28" s="327">
        <f t="shared" si="26"/>
        <v>16808.757000000001</v>
      </c>
      <c r="AH28" s="327">
        <f t="shared" si="26"/>
        <v>15881.775000000005</v>
      </c>
      <c r="AI28" s="327">
        <f t="shared" si="26"/>
        <v>13422.672999999992</v>
      </c>
      <c r="AJ28" s="327">
        <f t="shared" si="26"/>
        <v>15590.725000000002</v>
      </c>
      <c r="AK28" s="327">
        <f t="shared" si="26"/>
        <v>12675.664000000001</v>
      </c>
      <c r="AL28" s="327">
        <f t="shared" si="26"/>
        <v>9326.5629999999983</v>
      </c>
      <c r="AM28" s="327">
        <f t="shared" si="26"/>
        <v>9647.4120000000039</v>
      </c>
      <c r="AN28" s="329">
        <f t="shared" si="26"/>
        <v>7791.5509999999995</v>
      </c>
      <c r="AO28" s="327">
        <f t="shared" si="26"/>
        <v>-6421.2720000000008</v>
      </c>
      <c r="AP28" s="327">
        <f t="shared" si="26"/>
        <v>21069.211337400004</v>
      </c>
      <c r="AQ28" s="327">
        <f t="shared" si="26"/>
        <v>19157.789796799992</v>
      </c>
      <c r="AR28" s="327">
        <f t="shared" si="26"/>
        <v>17403.120000000003</v>
      </c>
      <c r="AS28" s="327">
        <f t="shared" si="26"/>
        <v>20245.917789999996</v>
      </c>
      <c r="AT28" s="327">
        <f t="shared" si="26"/>
        <v>14445.966609999999</v>
      </c>
      <c r="AU28" s="327">
        <f t="shared" si="26"/>
        <v>19466.583010000006</v>
      </c>
      <c r="AV28" s="327">
        <f t="shared" si="26"/>
        <v>17739.282220000001</v>
      </c>
      <c r="AW28" s="327">
        <f t="shared" si="26"/>
        <v>13539.584570000003</v>
      </c>
      <c r="AX28" s="327">
        <f t="shared" si="26"/>
        <v>20618.225989999995</v>
      </c>
      <c r="AY28" s="327">
        <f t="shared" si="26"/>
        <v>16669.480089999997</v>
      </c>
      <c r="AZ28" s="329">
        <f t="shared" si="26"/>
        <v>7574.6733000000022</v>
      </c>
      <c r="BA28" s="330">
        <f t="shared" si="26"/>
        <v>17149.420000000002</v>
      </c>
    </row>
    <row r="29" spans="3:53" ht="18.75">
      <c r="C29" s="183"/>
      <c r="D29" s="184" t="s">
        <v>108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</row>
    <row r="30" spans="3:53" ht="18.75">
      <c r="C30" s="183"/>
      <c r="D30" s="184" t="s">
        <v>107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</row>
    <row r="31" spans="3:53" ht="18.75">
      <c r="C31" s="183"/>
      <c r="D31" s="184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</row>
    <row r="32" spans="3:53" ht="16.5" thickBot="1">
      <c r="C32" s="185"/>
      <c r="D32" s="185" t="s">
        <v>106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</row>
    <row r="33" spans="3:60" ht="15" customHeight="1">
      <c r="C33" s="366" t="s">
        <v>92</v>
      </c>
      <c r="D33" s="367" t="s">
        <v>105</v>
      </c>
      <c r="E33" s="229">
        <f t="shared" ref="E33:AB33" si="27">E28</f>
        <v>12683.125820000001</v>
      </c>
      <c r="F33" s="229">
        <f t="shared" si="27"/>
        <v>11037.498349999998</v>
      </c>
      <c r="G33" s="229">
        <f t="shared" si="27"/>
        <v>9354.8526599999932</v>
      </c>
      <c r="H33" s="231">
        <f t="shared" si="27"/>
        <v>15033.424820000004</v>
      </c>
      <c r="I33" s="229">
        <f t="shared" si="27"/>
        <v>0</v>
      </c>
      <c r="J33" s="229">
        <f t="shared" si="27"/>
        <v>0</v>
      </c>
      <c r="K33" s="229">
        <f t="shared" si="27"/>
        <v>0</v>
      </c>
      <c r="L33" s="229">
        <f t="shared" si="27"/>
        <v>0</v>
      </c>
      <c r="M33" s="229">
        <f t="shared" si="27"/>
        <v>0</v>
      </c>
      <c r="N33" s="229">
        <f t="shared" si="27"/>
        <v>0</v>
      </c>
      <c r="O33" s="229">
        <f t="shared" si="27"/>
        <v>0</v>
      </c>
      <c r="P33" s="230">
        <f t="shared" si="27"/>
        <v>0</v>
      </c>
      <c r="Q33" s="228">
        <f t="shared" si="27"/>
        <v>12683.125820000001</v>
      </c>
      <c r="R33" s="229">
        <f t="shared" si="27"/>
        <v>11037.498349999998</v>
      </c>
      <c r="S33" s="229">
        <f t="shared" si="27"/>
        <v>9354.8526599999932</v>
      </c>
      <c r="T33" s="229">
        <f t="shared" si="27"/>
        <v>15754.456999999999</v>
      </c>
      <c r="U33" s="229">
        <f t="shared" si="27"/>
        <v>15752.682000000004</v>
      </c>
      <c r="V33" s="229">
        <f t="shared" si="27"/>
        <v>14529.768</v>
      </c>
      <c r="W33" s="229">
        <f t="shared" si="27"/>
        <v>11927.628000000001</v>
      </c>
      <c r="X33" s="229">
        <f t="shared" si="27"/>
        <v>13341.010000000002</v>
      </c>
      <c r="Y33" s="229">
        <f t="shared" si="27"/>
        <v>10678.380000000005</v>
      </c>
      <c r="Z33" s="229">
        <f t="shared" si="27"/>
        <v>7484.1579999999994</v>
      </c>
      <c r="AA33" s="229">
        <f t="shared" si="27"/>
        <v>7347.3380000000034</v>
      </c>
      <c r="AB33" s="230">
        <f t="shared" si="27"/>
        <v>5223.9069999999992</v>
      </c>
      <c r="AC33" s="228">
        <f t="shared" ref="AC33:BA33" si="28">AC28</f>
        <v>14859.477999999988</v>
      </c>
      <c r="AD33" s="229">
        <f t="shared" si="28"/>
        <v>11088.237999999998</v>
      </c>
      <c r="AE33" s="229">
        <f t="shared" si="28"/>
        <v>12766.980000000003</v>
      </c>
      <c r="AF33" s="229">
        <f t="shared" si="28"/>
        <v>15479.349999999995</v>
      </c>
      <c r="AG33" s="229">
        <f t="shared" si="28"/>
        <v>16808.757000000001</v>
      </c>
      <c r="AH33" s="229">
        <f t="shared" si="28"/>
        <v>15881.775000000005</v>
      </c>
      <c r="AI33" s="229">
        <f t="shared" si="28"/>
        <v>13422.672999999992</v>
      </c>
      <c r="AJ33" s="229">
        <f t="shared" si="28"/>
        <v>15590.725000000002</v>
      </c>
      <c r="AK33" s="229">
        <f t="shared" si="28"/>
        <v>12675.664000000001</v>
      </c>
      <c r="AL33" s="229">
        <f t="shared" si="28"/>
        <v>9326.5629999999983</v>
      </c>
      <c r="AM33" s="229">
        <f t="shared" si="28"/>
        <v>9647.4120000000039</v>
      </c>
      <c r="AN33" s="230">
        <f t="shared" si="28"/>
        <v>7791.5509999999995</v>
      </c>
      <c r="AO33" s="229">
        <f t="shared" si="28"/>
        <v>-6421.2720000000008</v>
      </c>
      <c r="AP33" s="229">
        <f t="shared" si="28"/>
        <v>21069.211337400004</v>
      </c>
      <c r="AQ33" s="229">
        <f t="shared" si="28"/>
        <v>19157.789796799992</v>
      </c>
      <c r="AR33" s="229">
        <f t="shared" si="28"/>
        <v>17403.120000000003</v>
      </c>
      <c r="AS33" s="229">
        <f t="shared" si="28"/>
        <v>20245.917789999996</v>
      </c>
      <c r="AT33" s="229">
        <f t="shared" si="28"/>
        <v>14445.966609999999</v>
      </c>
      <c r="AU33" s="229">
        <f t="shared" si="28"/>
        <v>19466.583010000006</v>
      </c>
      <c r="AV33" s="229">
        <f t="shared" si="28"/>
        <v>17739.282220000001</v>
      </c>
      <c r="AW33" s="229">
        <f t="shared" si="28"/>
        <v>13539.584570000003</v>
      </c>
      <c r="AX33" s="229">
        <f t="shared" si="28"/>
        <v>20618.225989999995</v>
      </c>
      <c r="AY33" s="229">
        <f t="shared" si="28"/>
        <v>16669.480089999997</v>
      </c>
      <c r="AZ33" s="230">
        <f t="shared" si="28"/>
        <v>7574.6733000000022</v>
      </c>
      <c r="BA33" s="231">
        <f t="shared" si="28"/>
        <v>17149.420000000002</v>
      </c>
    </row>
    <row r="34" spans="3:60" ht="15" customHeight="1">
      <c r="C34" s="368" t="s">
        <v>94</v>
      </c>
      <c r="D34" s="369" t="s">
        <v>104</v>
      </c>
      <c r="E34" s="233">
        <f t="shared" ref="E34:AB34" si="29">-E85</f>
        <v>4314.2830000000004</v>
      </c>
      <c r="F34" s="233">
        <f t="shared" si="29"/>
        <v>4195.1760000000004</v>
      </c>
      <c r="G34" s="233">
        <f t="shared" si="29"/>
        <v>3966.8870000000002</v>
      </c>
      <c r="H34" s="235">
        <f t="shared" si="29"/>
        <v>3916.68</v>
      </c>
      <c r="I34" s="233">
        <f t="shared" si="29"/>
        <v>0</v>
      </c>
      <c r="J34" s="233">
        <f t="shared" si="29"/>
        <v>0</v>
      </c>
      <c r="K34" s="233">
        <f t="shared" si="29"/>
        <v>0</v>
      </c>
      <c r="L34" s="233">
        <f t="shared" si="29"/>
        <v>0</v>
      </c>
      <c r="M34" s="233">
        <f t="shared" si="29"/>
        <v>0</v>
      </c>
      <c r="N34" s="233">
        <f t="shared" si="29"/>
        <v>0</v>
      </c>
      <c r="O34" s="233">
        <f t="shared" si="29"/>
        <v>0</v>
      </c>
      <c r="P34" s="234">
        <f t="shared" si="29"/>
        <v>0</v>
      </c>
      <c r="Q34" s="232">
        <f t="shared" si="29"/>
        <v>4314.2830000000004</v>
      </c>
      <c r="R34" s="233">
        <f t="shared" si="29"/>
        <v>4195.1760000000004</v>
      </c>
      <c r="S34" s="233">
        <f t="shared" si="29"/>
        <v>3966.8870000000002</v>
      </c>
      <c r="T34" s="233">
        <f t="shared" si="29"/>
        <v>4000.2269999999999</v>
      </c>
      <c r="U34" s="233">
        <f t="shared" si="29"/>
        <v>4033.567</v>
      </c>
      <c r="V34" s="233">
        <f t="shared" si="29"/>
        <v>4066.9070000000002</v>
      </c>
      <c r="W34" s="233">
        <f t="shared" si="29"/>
        <v>4083.587</v>
      </c>
      <c r="X34" s="233">
        <f t="shared" si="29"/>
        <v>4100.2669999999998</v>
      </c>
      <c r="Y34" s="233">
        <f t="shared" si="29"/>
        <v>4116.9470000000001</v>
      </c>
      <c r="Z34" s="233">
        <f t="shared" si="29"/>
        <v>4133.6270000000004</v>
      </c>
      <c r="AA34" s="233">
        <f t="shared" si="29"/>
        <v>4150.3069999999998</v>
      </c>
      <c r="AB34" s="351">
        <f t="shared" si="29"/>
        <v>4166.9870000000001</v>
      </c>
      <c r="AC34" s="232">
        <f t="shared" ref="AC34:BA34" si="30">-AC85</f>
        <v>4808.2380000000003</v>
      </c>
      <c r="AD34" s="233">
        <f t="shared" si="30"/>
        <v>4844.5780000000004</v>
      </c>
      <c r="AE34" s="233">
        <f t="shared" si="30"/>
        <v>4880.9179999999997</v>
      </c>
      <c r="AF34" s="233">
        <f t="shared" si="30"/>
        <v>4917.2579999999998</v>
      </c>
      <c r="AG34" s="233">
        <f t="shared" si="30"/>
        <v>4953.598</v>
      </c>
      <c r="AH34" s="233">
        <f t="shared" si="30"/>
        <v>4989.9380000000001</v>
      </c>
      <c r="AI34" s="233">
        <f t="shared" si="30"/>
        <v>4745.701</v>
      </c>
      <c r="AJ34" s="233">
        <f t="shared" si="30"/>
        <v>4762.3810000000003</v>
      </c>
      <c r="AK34" s="233">
        <f t="shared" si="30"/>
        <v>4779.0609999999997</v>
      </c>
      <c r="AL34" s="233">
        <f t="shared" si="30"/>
        <v>4795.741</v>
      </c>
      <c r="AM34" s="233">
        <f t="shared" si="30"/>
        <v>4812.4210000000003</v>
      </c>
      <c r="AN34" s="351">
        <f t="shared" si="30"/>
        <v>4829.1009999999997</v>
      </c>
      <c r="AO34" s="233">
        <f t="shared" si="30"/>
        <v>0</v>
      </c>
      <c r="AP34" s="233">
        <f t="shared" si="30"/>
        <v>4224.4369999999999</v>
      </c>
      <c r="AQ34" s="233">
        <f t="shared" si="30"/>
        <v>4320.41</v>
      </c>
      <c r="AR34" s="233">
        <f t="shared" si="30"/>
        <v>4385.3630000000003</v>
      </c>
      <c r="AS34" s="233">
        <f t="shared" si="30"/>
        <v>4575.82</v>
      </c>
      <c r="AT34" s="233">
        <f t="shared" si="30"/>
        <v>4625.915</v>
      </c>
      <c r="AU34" s="233">
        <f t="shared" si="30"/>
        <v>4970.6909999999998</v>
      </c>
      <c r="AV34" s="233">
        <f t="shared" si="30"/>
        <v>4958.7579999999998</v>
      </c>
      <c r="AW34" s="233">
        <f t="shared" si="30"/>
        <v>4994.9070000000002</v>
      </c>
      <c r="AX34" s="233">
        <f t="shared" si="30"/>
        <v>4920.4549999999999</v>
      </c>
      <c r="AY34" s="233">
        <f t="shared" si="30"/>
        <v>4852.41</v>
      </c>
      <c r="AZ34" s="234">
        <f t="shared" si="30"/>
        <v>4558.0209999999997</v>
      </c>
      <c r="BA34" s="235">
        <f t="shared" si="30"/>
        <v>4771.8980000000001</v>
      </c>
    </row>
    <row r="35" spans="3:60" ht="15" customHeight="1">
      <c r="C35" s="368" t="s">
        <v>94</v>
      </c>
      <c r="D35" s="369" t="s">
        <v>103</v>
      </c>
      <c r="E35" s="233">
        <f t="shared" ref="E35:AB35" si="31">-E86</f>
        <v>2216.0540000000001</v>
      </c>
      <c r="F35" s="233">
        <f t="shared" si="31"/>
        <v>2521.3409999999999</v>
      </c>
      <c r="G35" s="233">
        <f t="shared" si="31"/>
        <v>2644.3130000000001</v>
      </c>
      <c r="H35" s="235">
        <f t="shared" si="31"/>
        <v>2054.9989999999998</v>
      </c>
      <c r="I35" s="233">
        <f t="shared" si="31"/>
        <v>0</v>
      </c>
      <c r="J35" s="233">
        <f t="shared" si="31"/>
        <v>0</v>
      </c>
      <c r="K35" s="233">
        <f t="shared" si="31"/>
        <v>0</v>
      </c>
      <c r="L35" s="233">
        <f t="shared" si="31"/>
        <v>0</v>
      </c>
      <c r="M35" s="233">
        <f t="shared" si="31"/>
        <v>0</v>
      </c>
      <c r="N35" s="233">
        <f t="shared" si="31"/>
        <v>0</v>
      </c>
      <c r="O35" s="233">
        <f t="shared" si="31"/>
        <v>0</v>
      </c>
      <c r="P35" s="234">
        <f t="shared" si="31"/>
        <v>0</v>
      </c>
      <c r="Q35" s="232">
        <f t="shared" si="31"/>
        <v>2216.0540000000001</v>
      </c>
      <c r="R35" s="233">
        <f t="shared" si="31"/>
        <v>2521.3409999999999</v>
      </c>
      <c r="S35" s="233">
        <f t="shared" si="31"/>
        <v>2644.3130000000001</v>
      </c>
      <c r="T35" s="233">
        <f t="shared" si="31"/>
        <v>1977.1120000000001</v>
      </c>
      <c r="U35" s="233">
        <f t="shared" si="31"/>
        <v>1990.6120000000001</v>
      </c>
      <c r="V35" s="233">
        <f t="shared" si="31"/>
        <v>2001.412</v>
      </c>
      <c r="W35" s="233">
        <f t="shared" si="31"/>
        <v>2014.712</v>
      </c>
      <c r="X35" s="233">
        <f t="shared" si="31"/>
        <v>2023.712</v>
      </c>
      <c r="Y35" s="233">
        <f t="shared" si="31"/>
        <v>2036.912</v>
      </c>
      <c r="Z35" s="233">
        <f t="shared" si="31"/>
        <v>2046.8119999999999</v>
      </c>
      <c r="AA35" s="233">
        <f t="shared" si="31"/>
        <v>2055.6120000000001</v>
      </c>
      <c r="AB35" s="351">
        <f t="shared" si="31"/>
        <v>2060.6120000000001</v>
      </c>
      <c r="AC35" s="232">
        <f t="shared" ref="AC35:BA35" si="32">-AC86</f>
        <v>723.63099999999997</v>
      </c>
      <c r="AD35" s="233">
        <f t="shared" si="32"/>
        <v>734.73099999999999</v>
      </c>
      <c r="AE35" s="233">
        <f t="shared" si="32"/>
        <v>747.73099999999999</v>
      </c>
      <c r="AF35" s="233">
        <f t="shared" si="32"/>
        <v>762.03099999999995</v>
      </c>
      <c r="AG35" s="233">
        <f t="shared" si="32"/>
        <v>773.53099999999995</v>
      </c>
      <c r="AH35" s="233">
        <f t="shared" si="32"/>
        <v>785.33100000000002</v>
      </c>
      <c r="AI35" s="233">
        <f t="shared" si="32"/>
        <v>719.32299999999998</v>
      </c>
      <c r="AJ35" s="233">
        <f t="shared" si="32"/>
        <v>729.32299999999998</v>
      </c>
      <c r="AK35" s="233">
        <f t="shared" si="32"/>
        <v>742.52300000000002</v>
      </c>
      <c r="AL35" s="233">
        <f t="shared" si="32"/>
        <v>754.423</v>
      </c>
      <c r="AM35" s="233">
        <f t="shared" si="32"/>
        <v>764.22299999999996</v>
      </c>
      <c r="AN35" s="351">
        <f t="shared" si="32"/>
        <v>770.22299999999996</v>
      </c>
      <c r="AO35" s="233">
        <f t="shared" si="32"/>
        <v>0</v>
      </c>
      <c r="AP35" s="233">
        <f t="shared" si="32"/>
        <v>760.95600000000002</v>
      </c>
      <c r="AQ35" s="233">
        <f t="shared" si="32"/>
        <v>888.06700000000001</v>
      </c>
      <c r="AR35" s="233">
        <f t="shared" si="32"/>
        <v>880.05799999999999</v>
      </c>
      <c r="AS35" s="233">
        <f t="shared" si="32"/>
        <v>829.83600000000001</v>
      </c>
      <c r="AT35" s="233">
        <f t="shared" si="32"/>
        <v>784.82299999999998</v>
      </c>
      <c r="AU35" s="233">
        <f t="shared" si="32"/>
        <v>871.36099999999999</v>
      </c>
      <c r="AV35" s="233">
        <f t="shared" si="32"/>
        <v>838.26099999999997</v>
      </c>
      <c r="AW35" s="233">
        <f t="shared" si="32"/>
        <v>714.93</v>
      </c>
      <c r="AX35" s="233">
        <f t="shared" si="32"/>
        <v>339.88900000000001</v>
      </c>
      <c r="AY35" s="233">
        <f t="shared" si="32"/>
        <v>924.24199999999996</v>
      </c>
      <c r="AZ35" s="234">
        <f t="shared" si="32"/>
        <v>2251.9740000000002</v>
      </c>
      <c r="BA35" s="235">
        <f t="shared" si="32"/>
        <v>714.93100000000004</v>
      </c>
    </row>
    <row r="36" spans="3:60" ht="15" customHeight="1">
      <c r="C36" s="368" t="s">
        <v>94</v>
      </c>
      <c r="D36" s="369" t="s">
        <v>102</v>
      </c>
      <c r="E36" s="233">
        <f t="shared" ref="E36:AB36" si="33">-(E87+E88)</f>
        <v>23.582999999999998</v>
      </c>
      <c r="F36" s="233">
        <f t="shared" si="33"/>
        <v>23.771000000000001</v>
      </c>
      <c r="G36" s="233">
        <f t="shared" si="33"/>
        <v>24.24</v>
      </c>
      <c r="H36" s="235">
        <f t="shared" si="33"/>
        <v>25.527000000000001</v>
      </c>
      <c r="I36" s="233">
        <f t="shared" si="33"/>
        <v>0</v>
      </c>
      <c r="J36" s="233">
        <f t="shared" si="33"/>
        <v>0</v>
      </c>
      <c r="K36" s="233">
        <f t="shared" si="33"/>
        <v>0</v>
      </c>
      <c r="L36" s="233">
        <f t="shared" si="33"/>
        <v>0</v>
      </c>
      <c r="M36" s="233">
        <f t="shared" si="33"/>
        <v>0</v>
      </c>
      <c r="N36" s="233">
        <f t="shared" si="33"/>
        <v>0</v>
      </c>
      <c r="O36" s="233">
        <f t="shared" si="33"/>
        <v>0</v>
      </c>
      <c r="P36" s="234">
        <f t="shared" si="33"/>
        <v>0</v>
      </c>
      <c r="Q36" s="232">
        <f t="shared" si="33"/>
        <v>23.582999999999998</v>
      </c>
      <c r="R36" s="233">
        <f t="shared" si="33"/>
        <v>23.771000000000001</v>
      </c>
      <c r="S36" s="233">
        <f t="shared" si="33"/>
        <v>24.24</v>
      </c>
      <c r="T36" s="233">
        <f t="shared" si="33"/>
        <v>24.297000000000001</v>
      </c>
      <c r="U36" s="233">
        <f t="shared" si="33"/>
        <v>24.617000000000001</v>
      </c>
      <c r="V36" s="233">
        <f t="shared" si="33"/>
        <v>24.937000000000001</v>
      </c>
      <c r="W36" s="233">
        <f t="shared" si="33"/>
        <v>25.257000000000001</v>
      </c>
      <c r="X36" s="233">
        <f t="shared" si="33"/>
        <v>25.577000000000002</v>
      </c>
      <c r="Y36" s="233">
        <f t="shared" si="33"/>
        <v>25.896999999999998</v>
      </c>
      <c r="Z36" s="233">
        <f t="shared" si="33"/>
        <v>26.216999999999999</v>
      </c>
      <c r="AA36" s="233">
        <f t="shared" si="33"/>
        <v>26.536999999999999</v>
      </c>
      <c r="AB36" s="351">
        <f t="shared" si="33"/>
        <v>26.856999999999999</v>
      </c>
      <c r="AC36" s="232">
        <f t="shared" ref="AC36:BA36" si="34">-(AC87+AC88)</f>
        <v>18.763000000000002</v>
      </c>
      <c r="AD36" s="233">
        <f t="shared" si="34"/>
        <v>18.899999999999999</v>
      </c>
      <c r="AE36" s="233">
        <f t="shared" si="34"/>
        <v>19.036999999999999</v>
      </c>
      <c r="AF36" s="233">
        <f t="shared" si="34"/>
        <v>19.173999999999999</v>
      </c>
      <c r="AG36" s="233">
        <f t="shared" si="34"/>
        <v>19.311</v>
      </c>
      <c r="AH36" s="233">
        <f t="shared" si="34"/>
        <v>19.448</v>
      </c>
      <c r="AI36" s="233">
        <f t="shared" si="34"/>
        <v>19.448</v>
      </c>
      <c r="AJ36" s="233">
        <f t="shared" si="34"/>
        <v>19.448</v>
      </c>
      <c r="AK36" s="233">
        <f t="shared" si="34"/>
        <v>19.448</v>
      </c>
      <c r="AL36" s="233">
        <f t="shared" si="34"/>
        <v>19.448</v>
      </c>
      <c r="AM36" s="233">
        <f t="shared" si="34"/>
        <v>19.448</v>
      </c>
      <c r="AN36" s="351">
        <f t="shared" si="34"/>
        <v>19.448</v>
      </c>
      <c r="AO36" s="233">
        <f t="shared" si="34"/>
        <v>0</v>
      </c>
      <c r="AP36" s="233">
        <f t="shared" si="34"/>
        <v>54.631999999999998</v>
      </c>
      <c r="AQ36" s="233">
        <f t="shared" si="34"/>
        <v>54.795000000000002</v>
      </c>
      <c r="AR36" s="233">
        <f t="shared" si="34"/>
        <v>54.896999999999998</v>
      </c>
      <c r="AS36" s="233">
        <f t="shared" si="34"/>
        <v>55.526000000000003</v>
      </c>
      <c r="AT36" s="233">
        <f t="shared" si="34"/>
        <v>55.505000000000003</v>
      </c>
      <c r="AU36" s="233">
        <f t="shared" si="34"/>
        <v>55.656999999999996</v>
      </c>
      <c r="AV36" s="233">
        <f t="shared" si="34"/>
        <v>55.863999999999997</v>
      </c>
      <c r="AW36" s="233">
        <f t="shared" si="34"/>
        <v>18.617999999999999</v>
      </c>
      <c r="AX36" s="233">
        <f t="shared" si="34"/>
        <v>18.687000000000001</v>
      </c>
      <c r="AY36" s="233">
        <f t="shared" si="34"/>
        <v>22.669</v>
      </c>
      <c r="AZ36" s="234">
        <f t="shared" si="34"/>
        <v>23.349</v>
      </c>
      <c r="BA36" s="235">
        <f t="shared" si="34"/>
        <v>18.626000000000001</v>
      </c>
    </row>
    <row r="37" spans="3:60" ht="15" customHeight="1">
      <c r="C37" s="368" t="s">
        <v>99</v>
      </c>
      <c r="D37" s="369" t="s">
        <v>101</v>
      </c>
      <c r="E37" s="233">
        <f t="shared" ref="E37:AB37" si="35">-E89</f>
        <v>0</v>
      </c>
      <c r="F37" s="233">
        <f t="shared" si="35"/>
        <v>0</v>
      </c>
      <c r="G37" s="233">
        <f t="shared" si="35"/>
        <v>0</v>
      </c>
      <c r="H37" s="235">
        <f t="shared" si="35"/>
        <v>0</v>
      </c>
      <c r="I37" s="233">
        <f t="shared" si="35"/>
        <v>0</v>
      </c>
      <c r="J37" s="233">
        <f t="shared" si="35"/>
        <v>0</v>
      </c>
      <c r="K37" s="233">
        <f t="shared" si="35"/>
        <v>0</v>
      </c>
      <c r="L37" s="233">
        <f t="shared" si="35"/>
        <v>0</v>
      </c>
      <c r="M37" s="233">
        <f t="shared" si="35"/>
        <v>0</v>
      </c>
      <c r="N37" s="233">
        <f t="shared" si="35"/>
        <v>0</v>
      </c>
      <c r="O37" s="233">
        <f t="shared" si="35"/>
        <v>0</v>
      </c>
      <c r="P37" s="234">
        <f t="shared" si="35"/>
        <v>0</v>
      </c>
      <c r="Q37" s="232">
        <f t="shared" si="35"/>
        <v>0</v>
      </c>
      <c r="R37" s="233">
        <f t="shared" si="35"/>
        <v>0</v>
      </c>
      <c r="S37" s="233">
        <f t="shared" si="35"/>
        <v>0</v>
      </c>
      <c r="T37" s="233">
        <f t="shared" si="35"/>
        <v>0</v>
      </c>
      <c r="U37" s="233">
        <f t="shared" si="35"/>
        <v>0</v>
      </c>
      <c r="V37" s="233">
        <f t="shared" si="35"/>
        <v>0</v>
      </c>
      <c r="W37" s="233">
        <f t="shared" si="35"/>
        <v>0</v>
      </c>
      <c r="X37" s="233">
        <f t="shared" si="35"/>
        <v>0</v>
      </c>
      <c r="Y37" s="233">
        <f t="shared" si="35"/>
        <v>0</v>
      </c>
      <c r="Z37" s="233">
        <f t="shared" si="35"/>
        <v>0</v>
      </c>
      <c r="AA37" s="233">
        <f t="shared" si="35"/>
        <v>0</v>
      </c>
      <c r="AB37" s="351">
        <f t="shared" si="35"/>
        <v>0</v>
      </c>
      <c r="AC37" s="232">
        <f t="shared" ref="AC37:BA37" si="36">-AC89</f>
        <v>0</v>
      </c>
      <c r="AD37" s="233">
        <f t="shared" si="36"/>
        <v>0</v>
      </c>
      <c r="AE37" s="233">
        <f t="shared" si="36"/>
        <v>0</v>
      </c>
      <c r="AF37" s="233">
        <f t="shared" si="36"/>
        <v>0</v>
      </c>
      <c r="AG37" s="233">
        <f t="shared" si="36"/>
        <v>0</v>
      </c>
      <c r="AH37" s="233">
        <f t="shared" si="36"/>
        <v>0</v>
      </c>
      <c r="AI37" s="233">
        <f t="shared" si="36"/>
        <v>0</v>
      </c>
      <c r="AJ37" s="233">
        <f t="shared" si="36"/>
        <v>0</v>
      </c>
      <c r="AK37" s="233">
        <f t="shared" si="36"/>
        <v>0</v>
      </c>
      <c r="AL37" s="233">
        <f t="shared" si="36"/>
        <v>0</v>
      </c>
      <c r="AM37" s="233">
        <f t="shared" si="36"/>
        <v>0</v>
      </c>
      <c r="AN37" s="351">
        <f t="shared" si="36"/>
        <v>0</v>
      </c>
      <c r="AO37" s="233">
        <f t="shared" si="36"/>
        <v>0</v>
      </c>
      <c r="AP37" s="233">
        <f t="shared" si="36"/>
        <v>0</v>
      </c>
      <c r="AQ37" s="233">
        <f t="shared" si="36"/>
        <v>0</v>
      </c>
      <c r="AR37" s="233">
        <f t="shared" si="36"/>
        <v>0</v>
      </c>
      <c r="AS37" s="233">
        <f t="shared" si="36"/>
        <v>0</v>
      </c>
      <c r="AT37" s="233">
        <f t="shared" si="36"/>
        <v>0</v>
      </c>
      <c r="AU37" s="233">
        <f t="shared" si="36"/>
        <v>0</v>
      </c>
      <c r="AV37" s="233">
        <f t="shared" si="36"/>
        <v>0</v>
      </c>
      <c r="AW37" s="233">
        <f t="shared" si="36"/>
        <v>0</v>
      </c>
      <c r="AX37" s="233">
        <f t="shared" si="36"/>
        <v>0</v>
      </c>
      <c r="AY37" s="233">
        <f t="shared" si="36"/>
        <v>0</v>
      </c>
      <c r="AZ37" s="234">
        <f t="shared" si="36"/>
        <v>0</v>
      </c>
      <c r="BA37" s="235">
        <f t="shared" si="36"/>
        <v>0</v>
      </c>
    </row>
    <row r="38" spans="3:60" ht="15" customHeight="1">
      <c r="C38" s="368" t="s">
        <v>99</v>
      </c>
      <c r="D38" s="369" t="s">
        <v>100</v>
      </c>
      <c r="E38" s="233">
        <f t="shared" ref="E38:AB38" si="37">-E90</f>
        <v>0</v>
      </c>
      <c r="F38" s="233">
        <f t="shared" si="37"/>
        <v>0</v>
      </c>
      <c r="G38" s="233">
        <f t="shared" si="37"/>
        <v>0</v>
      </c>
      <c r="H38" s="235">
        <f t="shared" si="37"/>
        <v>0</v>
      </c>
      <c r="I38" s="233">
        <f t="shared" si="37"/>
        <v>0</v>
      </c>
      <c r="J38" s="233">
        <f t="shared" si="37"/>
        <v>0</v>
      </c>
      <c r="K38" s="233">
        <f t="shared" si="37"/>
        <v>0</v>
      </c>
      <c r="L38" s="233">
        <f t="shared" si="37"/>
        <v>0</v>
      </c>
      <c r="M38" s="233">
        <f t="shared" si="37"/>
        <v>0</v>
      </c>
      <c r="N38" s="233">
        <f t="shared" si="37"/>
        <v>0</v>
      </c>
      <c r="O38" s="233">
        <f t="shared" si="37"/>
        <v>0</v>
      </c>
      <c r="P38" s="234">
        <f t="shared" si="37"/>
        <v>0</v>
      </c>
      <c r="Q38" s="232">
        <f t="shared" si="37"/>
        <v>0</v>
      </c>
      <c r="R38" s="233">
        <f t="shared" si="37"/>
        <v>0</v>
      </c>
      <c r="S38" s="233">
        <f t="shared" si="37"/>
        <v>0</v>
      </c>
      <c r="T38" s="233">
        <f t="shared" si="37"/>
        <v>0</v>
      </c>
      <c r="U38" s="233">
        <f t="shared" si="37"/>
        <v>0</v>
      </c>
      <c r="V38" s="233">
        <f t="shared" si="37"/>
        <v>0</v>
      </c>
      <c r="W38" s="233">
        <f t="shared" si="37"/>
        <v>0</v>
      </c>
      <c r="X38" s="233">
        <f t="shared" si="37"/>
        <v>0</v>
      </c>
      <c r="Y38" s="233">
        <f t="shared" si="37"/>
        <v>0</v>
      </c>
      <c r="Z38" s="233">
        <f t="shared" si="37"/>
        <v>0</v>
      </c>
      <c r="AA38" s="233">
        <f t="shared" si="37"/>
        <v>0</v>
      </c>
      <c r="AB38" s="351">
        <f t="shared" si="37"/>
        <v>0</v>
      </c>
      <c r="AC38" s="232">
        <f t="shared" ref="AC38:BA38" si="38">-AC90</f>
        <v>0</v>
      </c>
      <c r="AD38" s="233">
        <f t="shared" si="38"/>
        <v>0</v>
      </c>
      <c r="AE38" s="233">
        <f t="shared" si="38"/>
        <v>0</v>
      </c>
      <c r="AF38" s="233">
        <f t="shared" si="38"/>
        <v>0</v>
      </c>
      <c r="AG38" s="233">
        <f t="shared" si="38"/>
        <v>0</v>
      </c>
      <c r="AH38" s="233">
        <f t="shared" si="38"/>
        <v>0</v>
      </c>
      <c r="AI38" s="233">
        <f t="shared" si="38"/>
        <v>0</v>
      </c>
      <c r="AJ38" s="233">
        <f t="shared" si="38"/>
        <v>0</v>
      </c>
      <c r="AK38" s="233">
        <f t="shared" si="38"/>
        <v>0</v>
      </c>
      <c r="AL38" s="233">
        <f t="shared" si="38"/>
        <v>0</v>
      </c>
      <c r="AM38" s="233">
        <f t="shared" si="38"/>
        <v>0</v>
      </c>
      <c r="AN38" s="351">
        <f t="shared" si="38"/>
        <v>0</v>
      </c>
      <c r="AO38" s="233">
        <f t="shared" si="38"/>
        <v>0</v>
      </c>
      <c r="AP38" s="233">
        <f t="shared" si="38"/>
        <v>0</v>
      </c>
      <c r="AQ38" s="233">
        <f t="shared" si="38"/>
        <v>0</v>
      </c>
      <c r="AR38" s="233">
        <f t="shared" si="38"/>
        <v>0</v>
      </c>
      <c r="AS38" s="233">
        <f t="shared" si="38"/>
        <v>0</v>
      </c>
      <c r="AT38" s="233">
        <f t="shared" si="38"/>
        <v>0</v>
      </c>
      <c r="AU38" s="233">
        <f t="shared" si="38"/>
        <v>0</v>
      </c>
      <c r="AV38" s="233">
        <f t="shared" si="38"/>
        <v>0</v>
      </c>
      <c r="AW38" s="233">
        <f t="shared" si="38"/>
        <v>0</v>
      </c>
      <c r="AX38" s="233">
        <f t="shared" si="38"/>
        <v>0</v>
      </c>
      <c r="AY38" s="233">
        <f t="shared" si="38"/>
        <v>0</v>
      </c>
      <c r="AZ38" s="234">
        <f t="shared" si="38"/>
        <v>0</v>
      </c>
      <c r="BA38" s="235">
        <f t="shared" si="38"/>
        <v>0</v>
      </c>
    </row>
    <row r="39" spans="3:60" ht="15" customHeight="1">
      <c r="C39" s="368" t="s">
        <v>99</v>
      </c>
      <c r="D39" s="369" t="s">
        <v>98</v>
      </c>
      <c r="E39" s="233">
        <f t="shared" ref="E39:AB39" si="39">-E91</f>
        <v>-4232.0479999999998</v>
      </c>
      <c r="F39" s="233">
        <f t="shared" si="39"/>
        <v>-4279.875</v>
      </c>
      <c r="G39" s="233">
        <f t="shared" si="39"/>
        <v>-3909.6509999999998</v>
      </c>
      <c r="H39" s="235">
        <f t="shared" si="39"/>
        <v>0</v>
      </c>
      <c r="I39" s="233">
        <f t="shared" si="39"/>
        <v>0</v>
      </c>
      <c r="J39" s="233">
        <f t="shared" si="39"/>
        <v>0</v>
      </c>
      <c r="K39" s="233">
        <f t="shared" si="39"/>
        <v>0</v>
      </c>
      <c r="L39" s="233">
        <f t="shared" si="39"/>
        <v>0</v>
      </c>
      <c r="M39" s="233">
        <f t="shared" si="39"/>
        <v>0</v>
      </c>
      <c r="N39" s="233">
        <f t="shared" si="39"/>
        <v>0</v>
      </c>
      <c r="O39" s="233">
        <f t="shared" si="39"/>
        <v>0</v>
      </c>
      <c r="P39" s="234">
        <f t="shared" si="39"/>
        <v>0</v>
      </c>
      <c r="Q39" s="232">
        <f t="shared" si="39"/>
        <v>-4232.0479999999998</v>
      </c>
      <c r="R39" s="233">
        <f t="shared" si="39"/>
        <v>-4279.875</v>
      </c>
      <c r="S39" s="233">
        <f t="shared" si="39"/>
        <v>-3909.6509999999998</v>
      </c>
      <c r="T39" s="233">
        <f t="shared" si="39"/>
        <v>0</v>
      </c>
      <c r="U39" s="233">
        <f t="shared" si="39"/>
        <v>0</v>
      </c>
      <c r="V39" s="233">
        <f t="shared" si="39"/>
        <v>0</v>
      </c>
      <c r="W39" s="233">
        <f t="shared" si="39"/>
        <v>0</v>
      </c>
      <c r="X39" s="233">
        <f t="shared" si="39"/>
        <v>0</v>
      </c>
      <c r="Y39" s="233">
        <f t="shared" si="39"/>
        <v>0</v>
      </c>
      <c r="Z39" s="233">
        <f t="shared" si="39"/>
        <v>0</v>
      </c>
      <c r="AA39" s="233">
        <f t="shared" si="39"/>
        <v>0</v>
      </c>
      <c r="AB39" s="351">
        <f t="shared" si="39"/>
        <v>0</v>
      </c>
      <c r="AC39" s="232">
        <f t="shared" ref="AC39:BA39" si="40">-AC91</f>
        <v>-3871.3270000000002</v>
      </c>
      <c r="AD39" s="233">
        <f t="shared" si="40"/>
        <v>-3871.3270000000002</v>
      </c>
      <c r="AE39" s="233">
        <f t="shared" si="40"/>
        <v>-3871.3270000000002</v>
      </c>
      <c r="AF39" s="233">
        <f t="shared" si="40"/>
        <v>0</v>
      </c>
      <c r="AG39" s="233">
        <f t="shared" si="40"/>
        <v>0</v>
      </c>
      <c r="AH39" s="233">
        <f t="shared" si="40"/>
        <v>0</v>
      </c>
      <c r="AI39" s="233">
        <f t="shared" si="40"/>
        <v>0</v>
      </c>
      <c r="AJ39" s="233">
        <f t="shared" si="40"/>
        <v>0</v>
      </c>
      <c r="AK39" s="233">
        <f t="shared" si="40"/>
        <v>0</v>
      </c>
      <c r="AL39" s="233">
        <f t="shared" si="40"/>
        <v>0</v>
      </c>
      <c r="AM39" s="233">
        <f t="shared" si="40"/>
        <v>0</v>
      </c>
      <c r="AN39" s="351">
        <f t="shared" si="40"/>
        <v>0</v>
      </c>
      <c r="AO39" s="233">
        <f t="shared" si="40"/>
        <v>0</v>
      </c>
      <c r="AP39" s="233">
        <f t="shared" si="40"/>
        <v>-2989.7139999999999</v>
      </c>
      <c r="AQ39" s="233">
        <f t="shared" si="40"/>
        <v>-4252.7659999999996</v>
      </c>
      <c r="AR39" s="233">
        <f t="shared" si="40"/>
        <v>-919.43600000000004</v>
      </c>
      <c r="AS39" s="233">
        <f t="shared" si="40"/>
        <v>-988.58600000000001</v>
      </c>
      <c r="AT39" s="233">
        <f t="shared" si="40"/>
        <v>-2003.501</v>
      </c>
      <c r="AU39" s="233">
        <f t="shared" si="40"/>
        <v>-1994.1990000000001</v>
      </c>
      <c r="AV39" s="233">
        <f t="shared" si="40"/>
        <v>-1724.106</v>
      </c>
      <c r="AW39" s="233">
        <f t="shared" si="40"/>
        <v>-2794.7759999999998</v>
      </c>
      <c r="AX39" s="233">
        <f t="shared" si="40"/>
        <v>-2775.413</v>
      </c>
      <c r="AY39" s="233">
        <f t="shared" si="40"/>
        <v>-3114.172</v>
      </c>
      <c r="AZ39" s="234">
        <f t="shared" si="40"/>
        <v>-4279.875</v>
      </c>
      <c r="BA39" s="235">
        <f t="shared" si="40"/>
        <v>-3871.3270000000002</v>
      </c>
    </row>
    <row r="40" spans="3:60" ht="15" customHeight="1">
      <c r="C40" s="370" t="s">
        <v>97</v>
      </c>
      <c r="D40" s="369" t="s">
        <v>96</v>
      </c>
      <c r="E40" s="233">
        <f t="shared" ref="E40:AB40" si="41">E92</f>
        <v>7515.9059999999999</v>
      </c>
      <c r="F40" s="233">
        <f t="shared" si="41"/>
        <v>7543.1</v>
      </c>
      <c r="G40" s="233">
        <f t="shared" si="41"/>
        <v>7562.884</v>
      </c>
      <c r="H40" s="235">
        <f t="shared" si="41"/>
        <v>5599.9459999999999</v>
      </c>
      <c r="I40" s="233">
        <f t="shared" si="41"/>
        <v>0</v>
      </c>
      <c r="J40" s="233">
        <f t="shared" si="41"/>
        <v>0</v>
      </c>
      <c r="K40" s="233">
        <f t="shared" si="41"/>
        <v>0</v>
      </c>
      <c r="L40" s="233">
        <f t="shared" si="41"/>
        <v>0</v>
      </c>
      <c r="M40" s="233">
        <f t="shared" si="41"/>
        <v>0</v>
      </c>
      <c r="N40" s="233">
        <f t="shared" si="41"/>
        <v>0</v>
      </c>
      <c r="O40" s="233">
        <f t="shared" si="41"/>
        <v>0</v>
      </c>
      <c r="P40" s="234">
        <f t="shared" si="41"/>
        <v>0</v>
      </c>
      <c r="Q40" s="232">
        <f t="shared" si="41"/>
        <v>7515.9059999999999</v>
      </c>
      <c r="R40" s="233">
        <f t="shared" si="41"/>
        <v>7543.1</v>
      </c>
      <c r="S40" s="233">
        <f t="shared" si="41"/>
        <v>7562.884</v>
      </c>
      <c r="T40" s="233">
        <f t="shared" si="41"/>
        <v>5622.6819999999998</v>
      </c>
      <c r="U40" s="233">
        <f t="shared" si="41"/>
        <v>5418.6819999999998</v>
      </c>
      <c r="V40" s="233">
        <f t="shared" si="41"/>
        <v>5418.6819999999998</v>
      </c>
      <c r="W40" s="233">
        <f t="shared" si="41"/>
        <v>5418.6819999999998</v>
      </c>
      <c r="X40" s="233">
        <f t="shared" si="41"/>
        <v>5428.6819999999998</v>
      </c>
      <c r="Y40" s="233">
        <f t="shared" si="41"/>
        <v>5458.6819999999998</v>
      </c>
      <c r="Z40" s="233">
        <f t="shared" si="41"/>
        <v>5488.6819999999998</v>
      </c>
      <c r="AA40" s="233">
        <f t="shared" si="41"/>
        <v>5518.6819999999998</v>
      </c>
      <c r="AB40" s="234">
        <f t="shared" si="41"/>
        <v>5548.6819999999998</v>
      </c>
      <c r="AC40" s="232">
        <f t="shared" ref="AC40:BA40" si="42">AC92</f>
        <v>7614.8149999999996</v>
      </c>
      <c r="AD40" s="233">
        <f t="shared" si="42"/>
        <v>7615.8149999999996</v>
      </c>
      <c r="AE40" s="233">
        <f t="shared" si="42"/>
        <v>7616.8149999999996</v>
      </c>
      <c r="AF40" s="233">
        <f t="shared" si="42"/>
        <v>5939.21</v>
      </c>
      <c r="AG40" s="233">
        <f t="shared" si="42"/>
        <v>5945.21</v>
      </c>
      <c r="AH40" s="233">
        <f t="shared" si="42"/>
        <v>5951.21</v>
      </c>
      <c r="AI40" s="233">
        <f t="shared" si="42"/>
        <v>5962.21</v>
      </c>
      <c r="AJ40" s="233">
        <f t="shared" si="42"/>
        <v>5973.21</v>
      </c>
      <c r="AK40" s="233">
        <f t="shared" si="42"/>
        <v>6004.21</v>
      </c>
      <c r="AL40" s="233">
        <f t="shared" si="42"/>
        <v>6035.21</v>
      </c>
      <c r="AM40" s="233">
        <f t="shared" si="42"/>
        <v>6066.21</v>
      </c>
      <c r="AN40" s="234">
        <f t="shared" si="42"/>
        <v>6097.21</v>
      </c>
      <c r="AO40" s="233">
        <f t="shared" si="42"/>
        <v>8372.7180000000008</v>
      </c>
      <c r="AP40" s="233">
        <f t="shared" si="42"/>
        <v>8410.8469999999998</v>
      </c>
      <c r="AQ40" s="233">
        <f t="shared" si="42"/>
        <v>8377.8050000000003</v>
      </c>
      <c r="AR40" s="233">
        <f t="shared" si="42"/>
        <v>6479.1580000000004</v>
      </c>
      <c r="AS40" s="233">
        <f t="shared" si="42"/>
        <v>6488.4390000000003</v>
      </c>
      <c r="AT40" s="233">
        <f t="shared" si="42"/>
        <v>6506.1540000000005</v>
      </c>
      <c r="AU40" s="233">
        <f t="shared" si="42"/>
        <v>7489.7719999999999</v>
      </c>
      <c r="AV40" s="233">
        <f t="shared" si="42"/>
        <v>7516.0079999999998</v>
      </c>
      <c r="AW40" s="233">
        <f t="shared" si="42"/>
        <v>7494.2160000000003</v>
      </c>
      <c r="AX40" s="233">
        <f t="shared" si="42"/>
        <v>7514.268</v>
      </c>
      <c r="AY40" s="233">
        <f t="shared" si="42"/>
        <v>7523.9889999999996</v>
      </c>
      <c r="AZ40" s="234">
        <f t="shared" si="42"/>
        <v>7538.5379999999996</v>
      </c>
      <c r="BA40" s="235">
        <f t="shared" si="42"/>
        <v>7615.848</v>
      </c>
    </row>
    <row r="41" spans="3:60" ht="15" customHeight="1">
      <c r="C41" s="368" t="s">
        <v>94</v>
      </c>
      <c r="D41" s="369" t="s">
        <v>95</v>
      </c>
      <c r="E41" s="233">
        <f t="shared" ref="E41:AB41" si="43">E93</f>
        <v>0</v>
      </c>
      <c r="F41" s="233">
        <f t="shared" si="43"/>
        <v>0</v>
      </c>
      <c r="G41" s="233">
        <f t="shared" si="43"/>
        <v>0</v>
      </c>
      <c r="H41" s="235">
        <f t="shared" si="43"/>
        <v>0</v>
      </c>
      <c r="I41" s="233">
        <f t="shared" si="43"/>
        <v>0</v>
      </c>
      <c r="J41" s="233">
        <f t="shared" si="43"/>
        <v>0</v>
      </c>
      <c r="K41" s="233">
        <f t="shared" si="43"/>
        <v>0</v>
      </c>
      <c r="L41" s="233">
        <f t="shared" si="43"/>
        <v>0</v>
      </c>
      <c r="M41" s="233">
        <f t="shared" si="43"/>
        <v>0</v>
      </c>
      <c r="N41" s="233">
        <f t="shared" si="43"/>
        <v>0</v>
      </c>
      <c r="O41" s="233">
        <f t="shared" si="43"/>
        <v>0</v>
      </c>
      <c r="P41" s="234">
        <f t="shared" si="43"/>
        <v>0</v>
      </c>
      <c r="Q41" s="232">
        <f t="shared" si="43"/>
        <v>0</v>
      </c>
      <c r="R41" s="233">
        <f t="shared" si="43"/>
        <v>0</v>
      </c>
      <c r="S41" s="233">
        <f t="shared" si="43"/>
        <v>0</v>
      </c>
      <c r="T41" s="233">
        <f t="shared" si="43"/>
        <v>0</v>
      </c>
      <c r="U41" s="233">
        <f t="shared" si="43"/>
        <v>0</v>
      </c>
      <c r="V41" s="233">
        <f t="shared" si="43"/>
        <v>0</v>
      </c>
      <c r="W41" s="233">
        <f t="shared" si="43"/>
        <v>0</v>
      </c>
      <c r="X41" s="233">
        <f t="shared" si="43"/>
        <v>0</v>
      </c>
      <c r="Y41" s="233">
        <f t="shared" si="43"/>
        <v>0</v>
      </c>
      <c r="Z41" s="233">
        <f t="shared" si="43"/>
        <v>0</v>
      </c>
      <c r="AA41" s="233">
        <f t="shared" si="43"/>
        <v>0</v>
      </c>
      <c r="AB41" s="234">
        <f t="shared" si="43"/>
        <v>0</v>
      </c>
      <c r="AC41" s="232">
        <f t="shared" ref="AC41:BA41" si="44">AC93</f>
        <v>0</v>
      </c>
      <c r="AD41" s="233">
        <f t="shared" si="44"/>
        <v>0</v>
      </c>
      <c r="AE41" s="233">
        <f t="shared" si="44"/>
        <v>0</v>
      </c>
      <c r="AF41" s="233">
        <f t="shared" si="44"/>
        <v>0</v>
      </c>
      <c r="AG41" s="233">
        <f t="shared" si="44"/>
        <v>0</v>
      </c>
      <c r="AH41" s="233">
        <f t="shared" si="44"/>
        <v>0</v>
      </c>
      <c r="AI41" s="233">
        <f t="shared" si="44"/>
        <v>0</v>
      </c>
      <c r="AJ41" s="233">
        <f t="shared" si="44"/>
        <v>0</v>
      </c>
      <c r="AK41" s="233">
        <f t="shared" si="44"/>
        <v>0</v>
      </c>
      <c r="AL41" s="233">
        <f t="shared" si="44"/>
        <v>0</v>
      </c>
      <c r="AM41" s="233">
        <f t="shared" si="44"/>
        <v>0</v>
      </c>
      <c r="AN41" s="234">
        <f t="shared" si="44"/>
        <v>0</v>
      </c>
      <c r="AO41" s="233">
        <f t="shared" si="44"/>
        <v>0</v>
      </c>
      <c r="AP41" s="233">
        <f t="shared" si="44"/>
        <v>0</v>
      </c>
      <c r="AQ41" s="233">
        <f t="shared" si="44"/>
        <v>0</v>
      </c>
      <c r="AR41" s="233">
        <f t="shared" si="44"/>
        <v>0</v>
      </c>
      <c r="AS41" s="233">
        <f t="shared" si="44"/>
        <v>0</v>
      </c>
      <c r="AT41" s="233">
        <f t="shared" si="44"/>
        <v>0</v>
      </c>
      <c r="AU41" s="233">
        <f t="shared" si="44"/>
        <v>0</v>
      </c>
      <c r="AV41" s="233">
        <f t="shared" si="44"/>
        <v>0</v>
      </c>
      <c r="AW41" s="233">
        <f t="shared" si="44"/>
        <v>0</v>
      </c>
      <c r="AX41" s="233">
        <f t="shared" si="44"/>
        <v>0</v>
      </c>
      <c r="AY41" s="233">
        <f t="shared" si="44"/>
        <v>0</v>
      </c>
      <c r="AZ41" s="234">
        <f t="shared" si="44"/>
        <v>0</v>
      </c>
      <c r="BA41" s="235">
        <f t="shared" si="44"/>
        <v>0</v>
      </c>
    </row>
    <row r="42" spans="3:60" ht="15" customHeight="1" thickBot="1">
      <c r="C42" s="368" t="s">
        <v>94</v>
      </c>
      <c r="D42" s="369" t="s">
        <v>93</v>
      </c>
      <c r="E42" s="233">
        <f t="shared" ref="E42:AB42" si="45">E94</f>
        <v>0</v>
      </c>
      <c r="F42" s="233">
        <f t="shared" si="45"/>
        <v>0</v>
      </c>
      <c r="G42" s="233">
        <f t="shared" si="45"/>
        <v>0</v>
      </c>
      <c r="H42" s="235">
        <f t="shared" si="45"/>
        <v>597.81799999999998</v>
      </c>
      <c r="I42" s="233">
        <f t="shared" si="45"/>
        <v>0</v>
      </c>
      <c r="J42" s="233">
        <f t="shared" si="45"/>
        <v>0</v>
      </c>
      <c r="K42" s="233">
        <f t="shared" si="45"/>
        <v>0</v>
      </c>
      <c r="L42" s="233">
        <f t="shared" si="45"/>
        <v>0</v>
      </c>
      <c r="M42" s="233">
        <f t="shared" si="45"/>
        <v>0</v>
      </c>
      <c r="N42" s="233">
        <f t="shared" si="45"/>
        <v>0</v>
      </c>
      <c r="O42" s="233">
        <f t="shared" si="45"/>
        <v>0</v>
      </c>
      <c r="P42" s="234">
        <f t="shared" si="45"/>
        <v>0</v>
      </c>
      <c r="Q42" s="232">
        <f t="shared" si="45"/>
        <v>0</v>
      </c>
      <c r="R42" s="233">
        <f t="shared" si="45"/>
        <v>0</v>
      </c>
      <c r="S42" s="233">
        <f t="shared" si="45"/>
        <v>0</v>
      </c>
      <c r="T42" s="233">
        <f t="shared" si="45"/>
        <v>410</v>
      </c>
      <c r="U42" s="233">
        <f t="shared" si="45"/>
        <v>410</v>
      </c>
      <c r="V42" s="233">
        <f t="shared" si="45"/>
        <v>400</v>
      </c>
      <c r="W42" s="233">
        <f t="shared" si="45"/>
        <v>700</v>
      </c>
      <c r="X42" s="233">
        <f t="shared" si="45"/>
        <v>800</v>
      </c>
      <c r="Y42" s="233">
        <f t="shared" si="45"/>
        <v>980</v>
      </c>
      <c r="Z42" s="233">
        <f t="shared" si="45"/>
        <v>1000</v>
      </c>
      <c r="AA42" s="233">
        <f t="shared" si="45"/>
        <v>700</v>
      </c>
      <c r="AB42" s="234">
        <f t="shared" si="45"/>
        <v>240</v>
      </c>
      <c r="AC42" s="232">
        <f t="shared" ref="AC42:BA42" si="46">AC94</f>
        <v>1E-3</v>
      </c>
      <c r="AD42" s="233">
        <f t="shared" si="46"/>
        <v>1E-3</v>
      </c>
      <c r="AE42" s="233">
        <f t="shared" si="46"/>
        <v>30.001000000000001</v>
      </c>
      <c r="AF42" s="233">
        <f t="shared" si="46"/>
        <v>410.00099999999998</v>
      </c>
      <c r="AG42" s="233">
        <f t="shared" si="46"/>
        <v>410.00099999999998</v>
      </c>
      <c r="AH42" s="233">
        <f t="shared" si="46"/>
        <v>400.00099999999998</v>
      </c>
      <c r="AI42" s="233">
        <f t="shared" si="46"/>
        <v>700.00099999999998</v>
      </c>
      <c r="AJ42" s="233">
        <f t="shared" si="46"/>
        <v>800.00099999999998</v>
      </c>
      <c r="AK42" s="233">
        <f t="shared" si="46"/>
        <v>980.00099999999998</v>
      </c>
      <c r="AL42" s="233">
        <f t="shared" si="46"/>
        <v>1000.001</v>
      </c>
      <c r="AM42" s="233">
        <f t="shared" si="46"/>
        <v>700.00099999999998</v>
      </c>
      <c r="AN42" s="234">
        <f t="shared" si="46"/>
        <v>240.001</v>
      </c>
      <c r="AO42" s="233">
        <f t="shared" si="46"/>
        <v>0</v>
      </c>
      <c r="AP42" s="233">
        <f t="shared" si="46"/>
        <v>0</v>
      </c>
      <c r="AQ42" s="233">
        <f t="shared" si="46"/>
        <v>0</v>
      </c>
      <c r="AR42" s="233">
        <f t="shared" si="46"/>
        <v>0.40899999999999997</v>
      </c>
      <c r="AS42" s="233">
        <f t="shared" si="46"/>
        <v>47.052</v>
      </c>
      <c r="AT42" s="233">
        <f t="shared" si="46"/>
        <v>-9.1470000000000002</v>
      </c>
      <c r="AU42" s="233">
        <f t="shared" si="46"/>
        <v>0</v>
      </c>
      <c r="AV42" s="233">
        <f t="shared" si="46"/>
        <v>7.79</v>
      </c>
      <c r="AW42" s="233">
        <f t="shared" si="46"/>
        <v>0</v>
      </c>
      <c r="AX42" s="233">
        <f t="shared" si="46"/>
        <v>0</v>
      </c>
      <c r="AY42" s="233">
        <f t="shared" si="46"/>
        <v>0</v>
      </c>
      <c r="AZ42" s="234">
        <f t="shared" si="46"/>
        <v>0</v>
      </c>
      <c r="BA42" s="235">
        <f t="shared" si="46"/>
        <v>0</v>
      </c>
    </row>
    <row r="43" spans="3:60" s="227" customFormat="1" ht="25.5" customHeight="1" thickBot="1">
      <c r="C43" s="371" t="s">
        <v>92</v>
      </c>
      <c r="D43" s="254" t="s">
        <v>91</v>
      </c>
      <c r="E43" s="237">
        <f t="shared" ref="E43:P43" si="47">SUM(E33:E42)</f>
        <v>22520.90382</v>
      </c>
      <c r="F43" s="237">
        <f t="shared" si="47"/>
        <v>21041.011350000001</v>
      </c>
      <c r="G43" s="237">
        <f t="shared" si="47"/>
        <v>19643.525659999992</v>
      </c>
      <c r="H43" s="239">
        <f t="shared" si="47"/>
        <v>27228.394820000001</v>
      </c>
      <c r="I43" s="237">
        <f t="shared" si="47"/>
        <v>0</v>
      </c>
      <c r="J43" s="237">
        <f t="shared" si="47"/>
        <v>0</v>
      </c>
      <c r="K43" s="237">
        <f t="shared" si="47"/>
        <v>0</v>
      </c>
      <c r="L43" s="237">
        <f t="shared" si="47"/>
        <v>0</v>
      </c>
      <c r="M43" s="237">
        <f t="shared" si="47"/>
        <v>0</v>
      </c>
      <c r="N43" s="237">
        <f t="shared" si="47"/>
        <v>0</v>
      </c>
      <c r="O43" s="237">
        <f t="shared" si="47"/>
        <v>0</v>
      </c>
      <c r="P43" s="237">
        <f t="shared" si="47"/>
        <v>0</v>
      </c>
      <c r="Q43" s="236">
        <f t="shared" ref="Q43:AB43" si="48">SUM(Q33:Q42)</f>
        <v>22520.90382</v>
      </c>
      <c r="R43" s="237">
        <f t="shared" si="48"/>
        <v>21041.011350000001</v>
      </c>
      <c r="S43" s="237">
        <f t="shared" si="48"/>
        <v>19643.525659999992</v>
      </c>
      <c r="T43" s="237">
        <f t="shared" si="48"/>
        <v>27788.774999999998</v>
      </c>
      <c r="U43" s="237">
        <f t="shared" si="48"/>
        <v>27630.160000000003</v>
      </c>
      <c r="V43" s="237">
        <f t="shared" si="48"/>
        <v>26441.706000000002</v>
      </c>
      <c r="W43" s="237">
        <f t="shared" si="48"/>
        <v>24169.866000000002</v>
      </c>
      <c r="X43" s="237">
        <f t="shared" si="48"/>
        <v>25719.248000000003</v>
      </c>
      <c r="Y43" s="237">
        <f t="shared" si="48"/>
        <v>23296.818000000007</v>
      </c>
      <c r="Z43" s="237">
        <f t="shared" si="48"/>
        <v>20179.495999999999</v>
      </c>
      <c r="AA43" s="237">
        <f t="shared" si="48"/>
        <v>19798.476000000006</v>
      </c>
      <c r="AB43" s="238">
        <f t="shared" si="48"/>
        <v>17267.045000000002</v>
      </c>
      <c r="AC43" s="236">
        <f t="shared" ref="AC43" si="49">SUM(AC33:AC42)</f>
        <v>24153.598999999987</v>
      </c>
      <c r="AD43" s="237">
        <f t="shared" ref="AD43" si="50">SUM(AD33:AD42)</f>
        <v>20430.935999999998</v>
      </c>
      <c r="AE43" s="237">
        <f t="shared" ref="AE43" si="51">SUM(AE33:AE42)</f>
        <v>22190.154999999999</v>
      </c>
      <c r="AF43" s="237">
        <f t="shared" ref="AF43" si="52">SUM(AF33:AF42)</f>
        <v>27527.02399999999</v>
      </c>
      <c r="AG43" s="237">
        <f t="shared" ref="AG43" si="53">SUM(AG33:AG42)</f>
        <v>28910.408000000003</v>
      </c>
      <c r="AH43" s="237">
        <f t="shared" ref="AH43" si="54">SUM(AH33:AH42)</f>
        <v>28027.703000000001</v>
      </c>
      <c r="AI43" s="237">
        <f t="shared" ref="AI43" si="55">SUM(AI33:AI42)</f>
        <v>25569.355999999992</v>
      </c>
      <c r="AJ43" s="237">
        <f t="shared" ref="AJ43" si="56">SUM(AJ33:AJ42)</f>
        <v>27875.088000000003</v>
      </c>
      <c r="AK43" s="237">
        <f t="shared" ref="AK43" si="57">SUM(AK33:AK42)</f>
        <v>25200.906999999999</v>
      </c>
      <c r="AL43" s="237">
        <f t="shared" ref="AL43" si="58">SUM(AL33:AL42)</f>
        <v>21931.385999999999</v>
      </c>
      <c r="AM43" s="237">
        <f t="shared" ref="AM43" si="59">SUM(AM33:AM42)</f>
        <v>22009.715000000004</v>
      </c>
      <c r="AN43" s="238">
        <f t="shared" ref="AN43" si="60">SUM(AN33:AN42)</f>
        <v>19747.534</v>
      </c>
      <c r="AO43" s="237">
        <f t="shared" ref="AO43:BA43" si="61">SUM(AO33:AO42)</f>
        <v>1951.4459999999999</v>
      </c>
      <c r="AP43" s="237">
        <f t="shared" si="61"/>
        <v>31530.369337399999</v>
      </c>
      <c r="AQ43" s="237">
        <f t="shared" si="61"/>
        <v>28546.10079679999</v>
      </c>
      <c r="AR43" s="237">
        <f t="shared" si="61"/>
        <v>28283.569000000003</v>
      </c>
      <c r="AS43" s="237">
        <f t="shared" si="61"/>
        <v>31254.004789999995</v>
      </c>
      <c r="AT43" s="237">
        <f t="shared" si="61"/>
        <v>24405.715610000003</v>
      </c>
      <c r="AU43" s="237">
        <f t="shared" si="61"/>
        <v>30859.865010000005</v>
      </c>
      <c r="AV43" s="237">
        <f t="shared" si="61"/>
        <v>29391.857220000005</v>
      </c>
      <c r="AW43" s="237">
        <f t="shared" si="61"/>
        <v>23967.479570000003</v>
      </c>
      <c r="AX43" s="237">
        <f t="shared" si="61"/>
        <v>30636.111989999994</v>
      </c>
      <c r="AY43" s="237">
        <f t="shared" si="61"/>
        <v>26878.618089999996</v>
      </c>
      <c r="AZ43" s="238">
        <f t="shared" si="61"/>
        <v>17666.680300000004</v>
      </c>
      <c r="BA43" s="239">
        <f t="shared" si="61"/>
        <v>26399.396000000001</v>
      </c>
    </row>
    <row r="44" spans="3:60" ht="15" customHeight="1">
      <c r="C44" s="103"/>
      <c r="D44" s="103"/>
    </row>
    <row r="45" spans="3:60" ht="15" customHeight="1" thickBot="1">
      <c r="C45" s="103"/>
      <c r="D45" s="103"/>
    </row>
    <row r="46" spans="3:60" ht="18" customHeight="1">
      <c r="C46" s="103"/>
      <c r="D46" s="186" t="s">
        <v>90</v>
      </c>
      <c r="E46" s="323" t="str">
        <f>+"31-01-"&amp;MID($A$1,3,2)</f>
        <v>31-01-13</v>
      </c>
      <c r="F46" s="323" t="str">
        <f>+"29-02-"&amp;MID($A$1,3,2)</f>
        <v>29-02-13</v>
      </c>
      <c r="G46" s="323" t="str">
        <f>+"31-03-"&amp;MID($A$1,3,2)</f>
        <v>31-03-13</v>
      </c>
      <c r="H46" s="384" t="str">
        <f>+"30-04-"&amp;MID($A$1,3,2)</f>
        <v>30-04-13</v>
      </c>
      <c r="I46" s="323" t="str">
        <f>+"31-05-"&amp;MID($A$1,3,2)</f>
        <v>31-05-13</v>
      </c>
      <c r="J46" s="323" t="str">
        <f>+"30-06-"&amp;MID($A$1,3,2)</f>
        <v>30-06-13</v>
      </c>
      <c r="K46" s="323" t="str">
        <f>+"31-07-"&amp;MID($A$1,3,2)</f>
        <v>31-07-13</v>
      </c>
      <c r="L46" s="323" t="str">
        <f>+"31-08-"&amp;MID($A$1,3,2)</f>
        <v>31-08-13</v>
      </c>
      <c r="M46" s="323" t="str">
        <f>+"30-09-"&amp;MID($A$1,3,2)</f>
        <v>30-09-13</v>
      </c>
      <c r="N46" s="323" t="str">
        <f>+"31-10-"&amp;MID($A$1,3,2)</f>
        <v>31-10-13</v>
      </c>
      <c r="O46" s="323" t="str">
        <f>+"30-11-"&amp;MID($A$1,3,2)</f>
        <v>30-11-13</v>
      </c>
      <c r="P46" s="323" t="str">
        <f>+"31-12-"&amp;MID($A$1,3,2)</f>
        <v>31-12-13</v>
      </c>
      <c r="Q46" s="324" t="str">
        <f>+"31-01-"&amp;MID($A$1,3,2)</f>
        <v>31-01-13</v>
      </c>
      <c r="R46" s="323" t="str">
        <f>+"29-02-"&amp;MID($A$1,3,2)</f>
        <v>29-02-13</v>
      </c>
      <c r="S46" s="323" t="str">
        <f>+"31-03-"&amp;MID($A$1,3,2)</f>
        <v>31-03-13</v>
      </c>
      <c r="T46" s="323" t="str">
        <f>+"30-04-"&amp;MID($A$1,3,2)</f>
        <v>30-04-13</v>
      </c>
      <c r="U46" s="323" t="str">
        <f>+"31-05-"&amp;MID($A$1,3,2)</f>
        <v>31-05-13</v>
      </c>
      <c r="V46" s="323" t="str">
        <f>+"30-06-"&amp;MID($A$1,3,2)</f>
        <v>30-06-13</v>
      </c>
      <c r="W46" s="323" t="str">
        <f>+"31-07-"&amp;MID($A$1,3,2)</f>
        <v>31-07-13</v>
      </c>
      <c r="X46" s="323" t="str">
        <f>+"31-08-"&amp;MID($A$1,3,2)</f>
        <v>31-08-13</v>
      </c>
      <c r="Y46" s="323" t="str">
        <f>+"30-09-"&amp;MID($A$1,3,2)</f>
        <v>30-09-13</v>
      </c>
      <c r="Z46" s="323" t="str">
        <f>+"31-10-"&amp;MID($A$1,3,2)</f>
        <v>31-10-13</v>
      </c>
      <c r="AA46" s="323" t="str">
        <f>+"30-11-"&amp;MID($A$1,3,2)</f>
        <v>30-11-13</v>
      </c>
      <c r="AB46" s="325" t="str">
        <f>+"31-12-"&amp;MID($A$1,3,2)</f>
        <v>31-12-13</v>
      </c>
      <c r="AC46" s="324" t="str">
        <f>+"31-01-"&amp;MID($A$1,3,2)</f>
        <v>31-01-13</v>
      </c>
      <c r="AD46" s="323" t="str">
        <f>+"29-02-"&amp;MID($A$1,3,2)</f>
        <v>29-02-13</v>
      </c>
      <c r="AE46" s="323" t="str">
        <f>+"31-03-"&amp;MID($A$1,3,2)</f>
        <v>31-03-13</v>
      </c>
      <c r="AF46" s="323" t="str">
        <f>+"30-04-"&amp;MID($A$1,3,2)</f>
        <v>30-04-13</v>
      </c>
      <c r="AG46" s="323" t="str">
        <f>+"31-05-"&amp;MID($A$1,3,2)</f>
        <v>31-05-13</v>
      </c>
      <c r="AH46" s="323" t="str">
        <f>+"30-06-"&amp;MID($A$1,3,2)</f>
        <v>30-06-13</v>
      </c>
      <c r="AI46" s="323" t="str">
        <f>+"31-07-"&amp;MID($A$1,3,2)</f>
        <v>31-07-13</v>
      </c>
      <c r="AJ46" s="323" t="str">
        <f>+"31-08-"&amp;MID($A$1,3,2)</f>
        <v>31-08-13</v>
      </c>
      <c r="AK46" s="323" t="str">
        <f>+"30-09-"&amp;MID($A$1,3,2)</f>
        <v>30-09-13</v>
      </c>
      <c r="AL46" s="323" t="str">
        <f>+"31-10-"&amp;MID($A$1,3,2)</f>
        <v>31-10-13</v>
      </c>
      <c r="AM46" s="323" t="str">
        <f>+"30-11-"&amp;MID($A$1,3,2)</f>
        <v>30-11-13</v>
      </c>
      <c r="AN46" s="325" t="str">
        <f>+"31-12-"&amp;MID($A$1,3,2)</f>
        <v>31-12-13</v>
      </c>
      <c r="AO46" s="323" t="str">
        <f>+"31-01-"&amp;MID($A$1,3,2)-1</f>
        <v>31-01-12</v>
      </c>
      <c r="AP46" s="323" t="str">
        <f>+"29-02-"&amp;MID($A$1,3,2)-1</f>
        <v>29-02-12</v>
      </c>
      <c r="AQ46" s="323" t="str">
        <f>+"31-03-"&amp;MID($A$1,3,2)-1</f>
        <v>31-03-12</v>
      </c>
      <c r="AR46" s="323" t="str">
        <f>+"30-04-"&amp;MID($A$1,3,2)-1</f>
        <v>30-04-12</v>
      </c>
      <c r="AS46" s="323" t="str">
        <f>+"31-05-"&amp;MID($A$1,3,2)-1</f>
        <v>31-05-12</v>
      </c>
      <c r="AT46" s="323" t="str">
        <f>+"30-06-"&amp;MID($A$1,3,2)-1</f>
        <v>30-06-12</v>
      </c>
      <c r="AU46" s="323" t="str">
        <f>+"31-07-"&amp;MID($A$1,3,2)-1</f>
        <v>31-07-12</v>
      </c>
      <c r="AV46" s="323" t="str">
        <f>+"31-08-"&amp;MID($A$1,3,2)-1</f>
        <v>31-08-12</v>
      </c>
      <c r="AW46" s="323" t="str">
        <f>+"30-09-"&amp;MID($A$1,3,2)-1</f>
        <v>30-09-12</v>
      </c>
      <c r="AX46" s="323" t="str">
        <f>+"31-10-"&amp;MID($A$1,3,2)-1</f>
        <v>31-10-12</v>
      </c>
      <c r="AY46" s="323" t="str">
        <f>+"29-02-"&amp;MID($A$1,3,2)-1</f>
        <v>29-02-12</v>
      </c>
      <c r="AZ46" s="325" t="str">
        <f>+"31-12-"&amp;MID($A$1,3,2)-1</f>
        <v>31-12-12</v>
      </c>
      <c r="BA46" s="326" t="str">
        <f>+"31-12-"&amp;MID($A$1,3,2)-1</f>
        <v>31-12-12</v>
      </c>
      <c r="BB46" s="126"/>
      <c r="BC46" s="126"/>
      <c r="BD46" s="126"/>
      <c r="BE46" s="126"/>
      <c r="BF46" s="126"/>
      <c r="BG46" s="126"/>
      <c r="BH46" s="126"/>
    </row>
    <row r="47" spans="3:60" ht="18" customHeight="1" thickBot="1">
      <c r="C47" s="103"/>
      <c r="D47" s="187"/>
      <c r="E47" s="249" t="s">
        <v>7</v>
      </c>
      <c r="F47" s="249" t="s">
        <v>7</v>
      </c>
      <c r="G47" s="249" t="s">
        <v>7</v>
      </c>
      <c r="H47" s="262" t="s">
        <v>7</v>
      </c>
      <c r="I47" s="249" t="s">
        <v>7</v>
      </c>
      <c r="J47" s="249" t="s">
        <v>7</v>
      </c>
      <c r="K47" s="249" t="s">
        <v>7</v>
      </c>
      <c r="L47" s="249" t="s">
        <v>7</v>
      </c>
      <c r="M47" s="249" t="s">
        <v>7</v>
      </c>
      <c r="N47" s="249" t="s">
        <v>7</v>
      </c>
      <c r="O47" s="249" t="s">
        <v>7</v>
      </c>
      <c r="P47" s="250" t="s">
        <v>7</v>
      </c>
      <c r="Q47" s="248" t="s">
        <v>145</v>
      </c>
      <c r="R47" s="249" t="s">
        <v>145</v>
      </c>
      <c r="S47" s="249" t="s">
        <v>145</v>
      </c>
      <c r="T47" s="249" t="s">
        <v>145</v>
      </c>
      <c r="U47" s="249" t="s">
        <v>145</v>
      </c>
      <c r="V47" s="249" t="s">
        <v>145</v>
      </c>
      <c r="W47" s="249" t="s">
        <v>145</v>
      </c>
      <c r="X47" s="249" t="s">
        <v>145</v>
      </c>
      <c r="Y47" s="249" t="s">
        <v>145</v>
      </c>
      <c r="Z47" s="249" t="s">
        <v>145</v>
      </c>
      <c r="AA47" s="249" t="s">
        <v>145</v>
      </c>
      <c r="AB47" s="250" t="s">
        <v>145</v>
      </c>
      <c r="AC47" s="248" t="s">
        <v>9</v>
      </c>
      <c r="AD47" s="249" t="s">
        <v>9</v>
      </c>
      <c r="AE47" s="249" t="s">
        <v>9</v>
      </c>
      <c r="AF47" s="249" t="s">
        <v>9</v>
      </c>
      <c r="AG47" s="249" t="s">
        <v>9</v>
      </c>
      <c r="AH47" s="249" t="s">
        <v>9</v>
      </c>
      <c r="AI47" s="249" t="s">
        <v>9</v>
      </c>
      <c r="AJ47" s="249" t="s">
        <v>9</v>
      </c>
      <c r="AK47" s="249" t="s">
        <v>9</v>
      </c>
      <c r="AL47" s="249" t="s">
        <v>9</v>
      </c>
      <c r="AM47" s="249" t="s">
        <v>9</v>
      </c>
      <c r="AN47" s="250" t="s">
        <v>9</v>
      </c>
      <c r="AO47" s="249" t="s">
        <v>7</v>
      </c>
      <c r="AP47" s="249" t="s">
        <v>7</v>
      </c>
      <c r="AQ47" s="249" t="s">
        <v>7</v>
      </c>
      <c r="AR47" s="249" t="s">
        <v>7</v>
      </c>
      <c r="AS47" s="249" t="s">
        <v>7</v>
      </c>
      <c r="AT47" s="249" t="s">
        <v>7</v>
      </c>
      <c r="AU47" s="249" t="s">
        <v>7</v>
      </c>
      <c r="AV47" s="249" t="s">
        <v>7</v>
      </c>
      <c r="AW47" s="249" t="s">
        <v>7</v>
      </c>
      <c r="AX47" s="249" t="s">
        <v>7</v>
      </c>
      <c r="AY47" s="249" t="s">
        <v>7</v>
      </c>
      <c r="AZ47" s="250" t="s">
        <v>7</v>
      </c>
      <c r="BA47" s="251" t="s">
        <v>8</v>
      </c>
      <c r="BB47" s="126"/>
      <c r="BC47" s="126"/>
      <c r="BD47" s="126"/>
      <c r="BE47" s="126"/>
      <c r="BF47" s="126"/>
      <c r="BG47" s="126"/>
      <c r="BH47" s="126"/>
    </row>
    <row r="48" spans="3:60" s="149" customFormat="1" ht="22.5" customHeight="1">
      <c r="C48" s="188"/>
      <c r="D48" s="361" t="s">
        <v>89</v>
      </c>
      <c r="E48" s="352">
        <f t="shared" ref="E48:AB48" si="62">IF(E$52&gt;0,E16/(E$52*(12/E$53)/365),0)</f>
        <v>32.647486707809357</v>
      </c>
      <c r="F48" s="352">
        <f t="shared" si="62"/>
        <v>31.438920820059291</v>
      </c>
      <c r="G48" s="352">
        <f t="shared" si="62"/>
        <v>28.423297082339491</v>
      </c>
      <c r="H48" s="359">
        <f t="shared" si="62"/>
        <v>25.547856361405568</v>
      </c>
      <c r="I48" s="352">
        <f t="shared" si="62"/>
        <v>0</v>
      </c>
      <c r="J48" s="352">
        <f t="shared" si="62"/>
        <v>0</v>
      </c>
      <c r="K48" s="352">
        <f t="shared" si="62"/>
        <v>0</v>
      </c>
      <c r="L48" s="352">
        <f t="shared" si="62"/>
        <v>0</v>
      </c>
      <c r="M48" s="352">
        <f t="shared" si="62"/>
        <v>0</v>
      </c>
      <c r="N48" s="352">
        <f t="shared" si="62"/>
        <v>0</v>
      </c>
      <c r="O48" s="352">
        <f t="shared" si="62"/>
        <v>0</v>
      </c>
      <c r="P48" s="353">
        <f t="shared" si="62"/>
        <v>0</v>
      </c>
      <c r="Q48" s="352">
        <f t="shared" si="62"/>
        <v>32.647486707809357</v>
      </c>
      <c r="R48" s="352">
        <f t="shared" si="62"/>
        <v>31.438920820059291</v>
      </c>
      <c r="S48" s="352">
        <f t="shared" si="62"/>
        <v>28.423297082339491</v>
      </c>
      <c r="T48" s="352">
        <f t="shared" si="62"/>
        <v>26.601017249196815</v>
      </c>
      <c r="U48" s="352">
        <f t="shared" si="62"/>
        <v>26.917996172798929</v>
      </c>
      <c r="V48" s="352">
        <f t="shared" si="62"/>
        <v>25.575512620034846</v>
      </c>
      <c r="W48" s="352">
        <f t="shared" si="62"/>
        <v>27.395929448587541</v>
      </c>
      <c r="X48" s="352">
        <f t="shared" si="62"/>
        <v>25.546292650791923</v>
      </c>
      <c r="Y48" s="352">
        <f t="shared" si="62"/>
        <v>24.785474531814089</v>
      </c>
      <c r="Z48" s="352">
        <f t="shared" si="62"/>
        <v>22.191118410652646</v>
      </c>
      <c r="AA48" s="352">
        <f t="shared" si="62"/>
        <v>21.742820357746247</v>
      </c>
      <c r="AB48" s="353">
        <f t="shared" si="62"/>
        <v>27.636389883521051</v>
      </c>
      <c r="AC48" s="352">
        <f t="shared" ref="AC48:BA48" si="63">IF(AC$52&gt;0,AC16/(AC$52*(12/AC$53)/365),0)</f>
        <v>39.261047378462159</v>
      </c>
      <c r="AD48" s="352">
        <f t="shared" si="63"/>
        <v>33.587849886127749</v>
      </c>
      <c r="AE48" s="352">
        <f t="shared" si="63"/>
        <v>29.205695024137235</v>
      </c>
      <c r="AF48" s="352">
        <f t="shared" si="63"/>
        <v>24.763116342915406</v>
      </c>
      <c r="AG48" s="352">
        <f t="shared" si="63"/>
        <v>25.148363698110682</v>
      </c>
      <c r="AH48" s="352">
        <f t="shared" si="63"/>
        <v>25.164457472267358</v>
      </c>
      <c r="AI48" s="352">
        <f t="shared" si="63"/>
        <v>28.196058418924679</v>
      </c>
      <c r="AJ48" s="352">
        <f t="shared" si="63"/>
        <v>27.028366560934845</v>
      </c>
      <c r="AK48" s="352">
        <f t="shared" si="63"/>
        <v>25.693319542297903</v>
      </c>
      <c r="AL48" s="352">
        <f t="shared" si="63"/>
        <v>24.128645798358683</v>
      </c>
      <c r="AM48" s="352">
        <f t="shared" si="63"/>
        <v>23.729545286427939</v>
      </c>
      <c r="AN48" s="353">
        <f t="shared" si="63"/>
        <v>30.544050604197245</v>
      </c>
      <c r="AO48" s="352">
        <f t="shared" si="63"/>
        <v>-7.420945226121761E-3</v>
      </c>
      <c r="AP48" s="352">
        <f t="shared" si="63"/>
        <v>41.930045049980748</v>
      </c>
      <c r="AQ48" s="352">
        <f t="shared" si="63"/>
        <v>37.388485858605144</v>
      </c>
      <c r="AR48" s="352">
        <f t="shared" si="63"/>
        <v>35.385450972225904</v>
      </c>
      <c r="AS48" s="352">
        <f t="shared" si="63"/>
        <v>39.234019167060247</v>
      </c>
      <c r="AT48" s="352">
        <f t="shared" si="63"/>
        <v>40.461454577376891</v>
      </c>
      <c r="AU48" s="352">
        <f t="shared" si="63"/>
        <v>44.416949508869692</v>
      </c>
      <c r="AV48" s="352">
        <f t="shared" si="63"/>
        <v>38.329918457940273</v>
      </c>
      <c r="AW48" s="352">
        <f t="shared" si="63"/>
        <v>34.120138431398885</v>
      </c>
      <c r="AX48" s="352">
        <f t="shared" si="63"/>
        <v>30.37778874079406</v>
      </c>
      <c r="AY48" s="352">
        <f t="shared" si="63"/>
        <v>29.859007079852653</v>
      </c>
      <c r="AZ48" s="353">
        <f t="shared" si="63"/>
        <v>34.041789376988817</v>
      </c>
      <c r="BA48" s="359">
        <f t="shared" si="63"/>
        <v>36.082379886978842</v>
      </c>
    </row>
    <row r="49" spans="3:59" s="149" customFormat="1" ht="18.75">
      <c r="C49" s="188"/>
      <c r="D49" s="362" t="s">
        <v>88</v>
      </c>
      <c r="E49" s="352">
        <f t="shared" ref="E49:AB49" si="64">IF(E$52&gt;0,E17/(E$52*(12/E$53)/365),0)</f>
        <v>57.965003160069244</v>
      </c>
      <c r="F49" s="352">
        <f t="shared" si="64"/>
        <v>62.599906126289014</v>
      </c>
      <c r="G49" s="352">
        <f t="shared" si="64"/>
        <v>72.834500438357381</v>
      </c>
      <c r="H49" s="359">
        <f t="shared" si="64"/>
        <v>69.241129372028226</v>
      </c>
      <c r="I49" s="352">
        <f t="shared" si="64"/>
        <v>0</v>
      </c>
      <c r="J49" s="352">
        <f t="shared" si="64"/>
        <v>0</v>
      </c>
      <c r="K49" s="352">
        <f t="shared" si="64"/>
        <v>0</v>
      </c>
      <c r="L49" s="352">
        <f t="shared" si="64"/>
        <v>0</v>
      </c>
      <c r="M49" s="352">
        <f t="shared" si="64"/>
        <v>0</v>
      </c>
      <c r="N49" s="352">
        <f t="shared" si="64"/>
        <v>0</v>
      </c>
      <c r="O49" s="352">
        <f t="shared" si="64"/>
        <v>0</v>
      </c>
      <c r="P49" s="353">
        <f t="shared" si="64"/>
        <v>0</v>
      </c>
      <c r="Q49" s="352">
        <f t="shared" si="64"/>
        <v>57.965003160069244</v>
      </c>
      <c r="R49" s="352">
        <f t="shared" si="64"/>
        <v>62.599906126289014</v>
      </c>
      <c r="S49" s="352">
        <f t="shared" si="64"/>
        <v>72.834500438357381</v>
      </c>
      <c r="T49" s="352">
        <f t="shared" si="64"/>
        <v>85.012381171281262</v>
      </c>
      <c r="U49" s="352">
        <f t="shared" si="64"/>
        <v>83.031300973823676</v>
      </c>
      <c r="V49" s="352">
        <f t="shared" si="64"/>
        <v>78.236047912768456</v>
      </c>
      <c r="W49" s="352">
        <f t="shared" si="64"/>
        <v>74.001427247415009</v>
      </c>
      <c r="X49" s="352">
        <f t="shared" si="64"/>
        <v>72.610008711308581</v>
      </c>
      <c r="Y49" s="352">
        <f t="shared" si="64"/>
        <v>74.436801801526201</v>
      </c>
      <c r="Z49" s="352">
        <f t="shared" si="64"/>
        <v>70.742763756085722</v>
      </c>
      <c r="AA49" s="352">
        <f t="shared" si="64"/>
        <v>70.64393831427428</v>
      </c>
      <c r="AB49" s="353">
        <f t="shared" si="64"/>
        <v>68.463833483616895</v>
      </c>
      <c r="AC49" s="352">
        <f t="shared" ref="AC49:BA49" si="65">IF(AC$52&gt;0,AC17/(AC$52*(12/AC$53)/365),0)</f>
        <v>80.41988359123593</v>
      </c>
      <c r="AD49" s="352">
        <f t="shared" si="65"/>
        <v>78.104550418730753</v>
      </c>
      <c r="AE49" s="352">
        <f t="shared" si="65"/>
        <v>80.942400000000021</v>
      </c>
      <c r="AF49" s="352">
        <f t="shared" si="65"/>
        <v>79.045378646891862</v>
      </c>
      <c r="AG49" s="352">
        <f t="shared" si="65"/>
        <v>79.000124882430413</v>
      </c>
      <c r="AH49" s="352">
        <f t="shared" si="65"/>
        <v>79.19744846532727</v>
      </c>
      <c r="AI49" s="352">
        <f t="shared" si="65"/>
        <v>77.695677048668927</v>
      </c>
      <c r="AJ49" s="352">
        <f t="shared" si="65"/>
        <v>79.868100174965548</v>
      </c>
      <c r="AK49" s="352">
        <f t="shared" si="65"/>
        <v>79.052019043849555</v>
      </c>
      <c r="AL49" s="352">
        <f t="shared" si="65"/>
        <v>79.425902668550876</v>
      </c>
      <c r="AM49" s="352">
        <f t="shared" si="65"/>
        <v>77.821109817324569</v>
      </c>
      <c r="AN49" s="353">
        <f t="shared" si="65"/>
        <v>77.432460925595095</v>
      </c>
      <c r="AO49" s="352">
        <f t="shared" si="65"/>
        <v>3.12094214408673</v>
      </c>
      <c r="AP49" s="352">
        <f t="shared" si="65"/>
        <v>71.411992692283448</v>
      </c>
      <c r="AQ49" s="352">
        <f t="shared" si="65"/>
        <v>74.273972317792627</v>
      </c>
      <c r="AR49" s="352">
        <f t="shared" si="65"/>
        <v>72.786315659551349</v>
      </c>
      <c r="AS49" s="352">
        <f t="shared" si="65"/>
        <v>69.760651980522297</v>
      </c>
      <c r="AT49" s="352">
        <f t="shared" si="65"/>
        <v>72.523868963117621</v>
      </c>
      <c r="AU49" s="352">
        <f t="shared" si="65"/>
        <v>71.670138084067233</v>
      </c>
      <c r="AV49" s="352">
        <f t="shared" si="65"/>
        <v>67.094880147632594</v>
      </c>
      <c r="AW49" s="352">
        <f t="shared" si="65"/>
        <v>70.393041600551754</v>
      </c>
      <c r="AX49" s="352">
        <f t="shared" si="65"/>
        <v>71.607595643232472</v>
      </c>
      <c r="AY49" s="352">
        <f t="shared" si="65"/>
        <v>71.587615908247741</v>
      </c>
      <c r="AZ49" s="353">
        <f t="shared" si="65"/>
        <v>65.259105555199824</v>
      </c>
      <c r="BA49" s="359">
        <f t="shared" si="65"/>
        <v>85.478259169729156</v>
      </c>
    </row>
    <row r="50" spans="3:59" s="149" customFormat="1" ht="19.5" thickBot="1">
      <c r="C50" s="188"/>
      <c r="D50" s="362" t="s">
        <v>87</v>
      </c>
      <c r="E50" s="352">
        <f t="shared" ref="E50:AB50" si="66">IF(E$52&gt;0,E21/(E$52*(12/E$53)/365),0)</f>
        <v>-38.450692496470403</v>
      </c>
      <c r="F50" s="352">
        <f t="shared" si="66"/>
        <v>-46.916954117258378</v>
      </c>
      <c r="G50" s="352">
        <f t="shared" si="66"/>
        <v>-58.199085984096122</v>
      </c>
      <c r="H50" s="359">
        <f t="shared" si="66"/>
        <v>-41.066973308234125</v>
      </c>
      <c r="I50" s="352">
        <f t="shared" si="66"/>
        <v>0</v>
      </c>
      <c r="J50" s="352">
        <f t="shared" si="66"/>
        <v>0</v>
      </c>
      <c r="K50" s="352">
        <f t="shared" si="66"/>
        <v>0</v>
      </c>
      <c r="L50" s="352">
        <f t="shared" si="66"/>
        <v>0</v>
      </c>
      <c r="M50" s="352">
        <f t="shared" si="66"/>
        <v>0</v>
      </c>
      <c r="N50" s="352">
        <f t="shared" si="66"/>
        <v>0</v>
      </c>
      <c r="O50" s="352">
        <f t="shared" si="66"/>
        <v>0</v>
      </c>
      <c r="P50" s="353">
        <f t="shared" si="66"/>
        <v>0</v>
      </c>
      <c r="Q50" s="352">
        <f t="shared" si="66"/>
        <v>-38.450692496470403</v>
      </c>
      <c r="R50" s="352">
        <f t="shared" si="66"/>
        <v>-46.916954117258378</v>
      </c>
      <c r="S50" s="352">
        <f t="shared" si="66"/>
        <v>-58.199085984096122</v>
      </c>
      <c r="T50" s="352">
        <f t="shared" si="66"/>
        <v>-58.381212014074833</v>
      </c>
      <c r="U50" s="352">
        <f t="shared" si="66"/>
        <v>-55.443949981858914</v>
      </c>
      <c r="V50" s="352">
        <f t="shared" si="66"/>
        <v>-50.416033015127503</v>
      </c>
      <c r="W50" s="352">
        <f t="shared" si="66"/>
        <v>-52.543446241489647</v>
      </c>
      <c r="X50" s="352">
        <f t="shared" si="66"/>
        <v>-48.104598428124412</v>
      </c>
      <c r="Y50" s="352">
        <f t="shared" si="66"/>
        <v>-51.830782065374692</v>
      </c>
      <c r="Z50" s="352">
        <f t="shared" si="66"/>
        <v>-51.90716276419851</v>
      </c>
      <c r="AA50" s="352">
        <f t="shared" si="66"/>
        <v>-49.258122474504447</v>
      </c>
      <c r="AB50" s="353">
        <f t="shared" si="66"/>
        <v>-49.267148216259066</v>
      </c>
      <c r="AC50" s="352">
        <f t="shared" ref="AC50:BA50" si="67">IF(AC$52&gt;0,AC21/(AC$52*(12/AC$53)/365),0)</f>
        <v>-51.283560810079344</v>
      </c>
      <c r="AD50" s="352">
        <f t="shared" si="67"/>
        <v>-60.048054086859288</v>
      </c>
      <c r="AE50" s="352">
        <f t="shared" si="67"/>
        <v>-59.063640925494859</v>
      </c>
      <c r="AF50" s="352">
        <f t="shared" si="67"/>
        <v>-52.694866674009965</v>
      </c>
      <c r="AG50" s="352">
        <f t="shared" si="67"/>
        <v>-50.482958005456076</v>
      </c>
      <c r="AH50" s="352">
        <f t="shared" si="67"/>
        <v>-49.155934557458409</v>
      </c>
      <c r="AI50" s="352">
        <f t="shared" si="67"/>
        <v>-53.073063169639155</v>
      </c>
      <c r="AJ50" s="352">
        <f t="shared" si="67"/>
        <v>-50.293445214558936</v>
      </c>
      <c r="AK50" s="352">
        <f t="shared" si="67"/>
        <v>-52.44054255030219</v>
      </c>
      <c r="AL50" s="352">
        <f t="shared" si="67"/>
        <v>-55.562332296788725</v>
      </c>
      <c r="AM50" s="352">
        <f t="shared" si="67"/>
        <v>-51.741094957891498</v>
      </c>
      <c r="AN50" s="353">
        <f t="shared" si="67"/>
        <v>-52.482598746604097</v>
      </c>
      <c r="AO50" s="352">
        <f t="shared" si="67"/>
        <v>-9.5170108119246546E-2</v>
      </c>
      <c r="AP50" s="352">
        <f t="shared" si="67"/>
        <v>-44.291415708953494</v>
      </c>
      <c r="AQ50" s="352">
        <f t="shared" si="67"/>
        <v>-47.392442183245734</v>
      </c>
      <c r="AR50" s="352">
        <f t="shared" si="67"/>
        <v>-45.203907726221303</v>
      </c>
      <c r="AS50" s="352">
        <f t="shared" si="67"/>
        <v>-34.6962609156772</v>
      </c>
      <c r="AT50" s="352">
        <f t="shared" si="67"/>
        <v>-48.972385464046248</v>
      </c>
      <c r="AU50" s="352">
        <f t="shared" si="67"/>
        <v>-43.584134912516213</v>
      </c>
      <c r="AV50" s="352">
        <f t="shared" si="67"/>
        <v>-37.947049604226173</v>
      </c>
      <c r="AW50" s="352">
        <f t="shared" si="67"/>
        <v>-46.01772916729324</v>
      </c>
      <c r="AX50" s="352">
        <f t="shared" si="67"/>
        <v>-33.357894860783574</v>
      </c>
      <c r="AY50" s="352">
        <f t="shared" si="67"/>
        <v>-35.373164236432928</v>
      </c>
      <c r="AZ50" s="353">
        <f t="shared" si="67"/>
        <v>-47.79428642872535</v>
      </c>
      <c r="BA50" s="359">
        <f t="shared" si="67"/>
        <v>-48.542162856336731</v>
      </c>
    </row>
    <row r="51" spans="3:59" s="322" customFormat="1" ht="19.5" thickBot="1">
      <c r="C51" s="321"/>
      <c r="D51" s="363" t="s">
        <v>86</v>
      </c>
      <c r="E51" s="354">
        <f t="shared" ref="E51:AB51" si="68">IF(E$52&gt;0,E23/(E$52*(12/E$53)/365),0)</f>
        <v>52.161797371408191</v>
      </c>
      <c r="F51" s="354">
        <f t="shared" si="68"/>
        <v>47.121872829089924</v>
      </c>
      <c r="G51" s="354">
        <f t="shared" si="68"/>
        <v>43.058711536600747</v>
      </c>
      <c r="H51" s="356">
        <f t="shared" si="68"/>
        <v>53.722012425199672</v>
      </c>
      <c r="I51" s="354">
        <f t="shared" si="68"/>
        <v>0</v>
      </c>
      <c r="J51" s="354">
        <f t="shared" si="68"/>
        <v>0</v>
      </c>
      <c r="K51" s="354">
        <f t="shared" si="68"/>
        <v>0</v>
      </c>
      <c r="L51" s="354">
        <f t="shared" si="68"/>
        <v>0</v>
      </c>
      <c r="M51" s="354">
        <f t="shared" si="68"/>
        <v>0</v>
      </c>
      <c r="N51" s="354">
        <f t="shared" si="68"/>
        <v>0</v>
      </c>
      <c r="O51" s="354">
        <f t="shared" si="68"/>
        <v>0</v>
      </c>
      <c r="P51" s="355">
        <f t="shared" si="68"/>
        <v>0</v>
      </c>
      <c r="Q51" s="354">
        <f t="shared" si="68"/>
        <v>52.161797371408191</v>
      </c>
      <c r="R51" s="354">
        <f t="shared" si="68"/>
        <v>47.121872829089924</v>
      </c>
      <c r="S51" s="354">
        <f t="shared" si="68"/>
        <v>43.058711536600747</v>
      </c>
      <c r="T51" s="354">
        <f t="shared" si="68"/>
        <v>53.232186406403244</v>
      </c>
      <c r="U51" s="354">
        <f t="shared" si="68"/>
        <v>54.505347164763684</v>
      </c>
      <c r="V51" s="354">
        <f t="shared" si="68"/>
        <v>53.395527517675802</v>
      </c>
      <c r="W51" s="354">
        <f t="shared" si="68"/>
        <v>48.853910454512899</v>
      </c>
      <c r="X51" s="354">
        <f t="shared" si="68"/>
        <v>50.051702933976088</v>
      </c>
      <c r="Y51" s="354">
        <f t="shared" si="68"/>
        <v>47.391494267965598</v>
      </c>
      <c r="Z51" s="354">
        <f t="shared" si="68"/>
        <v>41.026719402539854</v>
      </c>
      <c r="AA51" s="354">
        <f t="shared" si="68"/>
        <v>43.128636197516087</v>
      </c>
      <c r="AB51" s="355">
        <f t="shared" si="68"/>
        <v>46.833075150878884</v>
      </c>
      <c r="AC51" s="354">
        <f t="shared" ref="AC51:BA51" si="69">IF(AC$52&gt;0,AC23/(AC$52*(12/AC$53)/365),0)</f>
        <v>68.397370159618731</v>
      </c>
      <c r="AD51" s="354">
        <f t="shared" si="69"/>
        <v>51.644346217999214</v>
      </c>
      <c r="AE51" s="354">
        <f t="shared" si="69"/>
        <v>51.084454098642389</v>
      </c>
      <c r="AF51" s="354">
        <f t="shared" si="69"/>
        <v>51.113628315797307</v>
      </c>
      <c r="AG51" s="354">
        <f t="shared" si="69"/>
        <v>53.665530575085036</v>
      </c>
      <c r="AH51" s="354">
        <f t="shared" si="69"/>
        <v>55.205971380136219</v>
      </c>
      <c r="AI51" s="354">
        <f t="shared" si="69"/>
        <v>52.81867229795445</v>
      </c>
      <c r="AJ51" s="354">
        <f t="shared" si="69"/>
        <v>56.603021521341468</v>
      </c>
      <c r="AK51" s="354">
        <f t="shared" si="69"/>
        <v>52.304796035845264</v>
      </c>
      <c r="AL51" s="354">
        <f t="shared" si="69"/>
        <v>47.992216170120834</v>
      </c>
      <c r="AM51" s="354">
        <f t="shared" si="69"/>
        <v>49.809560145861013</v>
      </c>
      <c r="AN51" s="355">
        <f t="shared" si="69"/>
        <v>55.493912783188257</v>
      </c>
      <c r="AO51" s="354">
        <f t="shared" si="69"/>
        <v>3.0183510907413615</v>
      </c>
      <c r="AP51" s="354">
        <f t="shared" si="69"/>
        <v>69.050622033310702</v>
      </c>
      <c r="AQ51" s="354">
        <f t="shared" si="69"/>
        <v>64.270015993152015</v>
      </c>
      <c r="AR51" s="354">
        <f t="shared" si="69"/>
        <v>62.967858905555957</v>
      </c>
      <c r="AS51" s="354">
        <f t="shared" si="69"/>
        <v>74.298410231905336</v>
      </c>
      <c r="AT51" s="354">
        <f t="shared" si="69"/>
        <v>64.012938076448251</v>
      </c>
      <c r="AU51" s="354">
        <f t="shared" si="69"/>
        <v>72.502952680420705</v>
      </c>
      <c r="AV51" s="354">
        <f t="shared" si="69"/>
        <v>67.47774900134668</v>
      </c>
      <c r="AW51" s="354">
        <f t="shared" si="69"/>
        <v>58.495450864657407</v>
      </c>
      <c r="AX51" s="354">
        <f t="shared" si="69"/>
        <v>68.627489523242943</v>
      </c>
      <c r="AY51" s="354">
        <f t="shared" si="69"/>
        <v>66.073458751667459</v>
      </c>
      <c r="AZ51" s="355">
        <f t="shared" si="69"/>
        <v>51.506608503463305</v>
      </c>
      <c r="BA51" s="356">
        <f t="shared" si="69"/>
        <v>73.018476200371268</v>
      </c>
    </row>
    <row r="52" spans="3:59" ht="18.75">
      <c r="C52" s="103"/>
      <c r="D52" s="364" t="s">
        <v>20</v>
      </c>
      <c r="E52" s="357">
        <f t="shared" ref="E52:P52" si="70">E103</f>
        <v>14430.590999999999</v>
      </c>
      <c r="F52" s="357">
        <f t="shared" si="70"/>
        <v>31259.763449999995</v>
      </c>
      <c r="G52" s="357">
        <f t="shared" si="70"/>
        <v>50955.568500000001</v>
      </c>
      <c r="H52" s="360">
        <f t="shared" si="70"/>
        <v>53824.10089999999</v>
      </c>
      <c r="I52" s="357">
        <f t="shared" si="70"/>
        <v>-31259.763449999995</v>
      </c>
      <c r="J52" s="357">
        <f t="shared" si="70"/>
        <v>-50955.568500000001</v>
      </c>
      <c r="K52" s="357">
        <f t="shared" si="70"/>
        <v>-68254.691899999991</v>
      </c>
      <c r="L52" s="357">
        <f t="shared" si="70"/>
        <v>0</v>
      </c>
      <c r="M52" s="357">
        <f t="shared" si="70"/>
        <v>0</v>
      </c>
      <c r="N52" s="357">
        <f t="shared" si="70"/>
        <v>0</v>
      </c>
      <c r="O52" s="357">
        <f t="shared" si="70"/>
        <v>0</v>
      </c>
      <c r="P52" s="358">
        <f t="shared" si="70"/>
        <v>0</v>
      </c>
      <c r="Q52" s="357">
        <f>Q103</f>
        <v>14430.590999999999</v>
      </c>
      <c r="R52" s="357">
        <f t="shared" ref="R52:AB52" si="71">R103</f>
        <v>31259.763449999995</v>
      </c>
      <c r="S52" s="357">
        <f t="shared" si="71"/>
        <v>50955.568500000001</v>
      </c>
      <c r="T52" s="357">
        <f t="shared" si="71"/>
        <v>54495.348999999987</v>
      </c>
      <c r="U52" s="357">
        <f t="shared" si="71"/>
        <v>54117.329049999986</v>
      </c>
      <c r="V52" s="357">
        <f t="shared" si="71"/>
        <v>54952.324499999995</v>
      </c>
      <c r="W52" s="357">
        <f t="shared" si="71"/>
        <v>54349.897000000012</v>
      </c>
      <c r="X52" s="357">
        <f t="shared" si="71"/>
        <v>54853.584350000005</v>
      </c>
      <c r="Y52" s="357">
        <f t="shared" si="71"/>
        <v>53921.348349999971</v>
      </c>
      <c r="Z52" s="357">
        <f t="shared" si="71"/>
        <v>55995.419349999982</v>
      </c>
      <c r="AA52" s="357">
        <f t="shared" si="71"/>
        <v>53187.085999999981</v>
      </c>
      <c r="AB52" s="358">
        <f t="shared" si="71"/>
        <v>41663.559300000023</v>
      </c>
      <c r="AC52" s="357">
        <f>AC103</f>
        <v>12660.286749999999</v>
      </c>
      <c r="AD52" s="357">
        <f t="shared" ref="AD52:BA52" si="72">AD103</f>
        <v>29835.436699999998</v>
      </c>
      <c r="AE52" s="357">
        <f t="shared" si="72"/>
        <v>50007.031249999993</v>
      </c>
      <c r="AF52" s="357">
        <f t="shared" si="72"/>
        <v>58360.669200000004</v>
      </c>
      <c r="AG52" s="357">
        <f t="shared" si="72"/>
        <v>58310.043899999997</v>
      </c>
      <c r="AH52" s="357">
        <f t="shared" si="72"/>
        <v>56935.973300000005</v>
      </c>
      <c r="AI52" s="357">
        <f t="shared" si="72"/>
        <v>54685.963799999998</v>
      </c>
      <c r="AJ52" s="357">
        <f t="shared" si="72"/>
        <v>53454.15165</v>
      </c>
      <c r="AK52" s="357">
        <f t="shared" si="72"/>
        <v>54223.049699999989</v>
      </c>
      <c r="AL52" s="357">
        <f t="shared" si="72"/>
        <v>53334.734499999962</v>
      </c>
      <c r="AM52" s="357">
        <f t="shared" si="72"/>
        <v>51681.244949999993</v>
      </c>
      <c r="AN52" s="358">
        <f t="shared" si="72"/>
        <v>39963.119850000017</v>
      </c>
      <c r="AO52" s="357">
        <f t="shared" si="72"/>
        <v>16444.221450000001</v>
      </c>
      <c r="AP52" s="357">
        <f t="shared" si="72"/>
        <v>34330.650999999998</v>
      </c>
      <c r="AQ52" s="357">
        <f t="shared" si="72"/>
        <v>53194.2045</v>
      </c>
      <c r="AR52" s="357">
        <f t="shared" si="72"/>
        <v>70378.079499999993</v>
      </c>
      <c r="AS52" s="357">
        <f t="shared" si="72"/>
        <v>48508.007399999988</v>
      </c>
      <c r="AT52" s="357">
        <f t="shared" si="72"/>
        <v>46071.764599999988</v>
      </c>
      <c r="AU52" s="357">
        <f t="shared" si="72"/>
        <v>44713.580099999992</v>
      </c>
      <c r="AV52" s="357">
        <f t="shared" si="72"/>
        <v>47753.257799999992</v>
      </c>
      <c r="AW52" s="357">
        <f t="shared" si="72"/>
        <v>47876.425099999993</v>
      </c>
      <c r="AX52" s="357">
        <f t="shared" si="72"/>
        <v>49348.417050000018</v>
      </c>
      <c r="AY52" s="357">
        <f t="shared" si="72"/>
        <v>47116.637350000005</v>
      </c>
      <c r="AZ52" s="358">
        <f t="shared" si="72"/>
        <v>38964.801400000026</v>
      </c>
      <c r="BA52" s="360">
        <f t="shared" si="72"/>
        <v>39562.639250000007</v>
      </c>
    </row>
    <row r="53" spans="3:59" ht="19.5" thickBot="1">
      <c r="C53" s="103"/>
      <c r="D53" s="365" t="s">
        <v>82</v>
      </c>
      <c r="E53" s="295">
        <v>1</v>
      </c>
      <c r="F53" s="296">
        <v>2</v>
      </c>
      <c r="G53" s="296">
        <v>3</v>
      </c>
      <c r="H53" s="298">
        <v>3</v>
      </c>
      <c r="I53" s="296">
        <v>3</v>
      </c>
      <c r="J53" s="296">
        <v>3</v>
      </c>
      <c r="K53" s="296">
        <v>3</v>
      </c>
      <c r="L53" s="296">
        <v>3</v>
      </c>
      <c r="M53" s="296">
        <v>3</v>
      </c>
      <c r="N53" s="296">
        <v>3</v>
      </c>
      <c r="O53" s="296">
        <v>3</v>
      </c>
      <c r="P53" s="297">
        <v>3</v>
      </c>
      <c r="Q53" s="295">
        <v>1</v>
      </c>
      <c r="R53" s="296">
        <v>2</v>
      </c>
      <c r="S53" s="296">
        <v>3</v>
      </c>
      <c r="T53" s="296">
        <v>3</v>
      </c>
      <c r="U53" s="296">
        <v>3</v>
      </c>
      <c r="V53" s="296">
        <v>3</v>
      </c>
      <c r="W53" s="296">
        <v>3</v>
      </c>
      <c r="X53" s="296">
        <v>3</v>
      </c>
      <c r="Y53" s="296">
        <v>3</v>
      </c>
      <c r="Z53" s="296">
        <v>3</v>
      </c>
      <c r="AA53" s="296">
        <v>3</v>
      </c>
      <c r="AB53" s="297">
        <v>3</v>
      </c>
      <c r="AC53" s="295">
        <v>1</v>
      </c>
      <c r="AD53" s="296">
        <v>2</v>
      </c>
      <c r="AE53" s="296">
        <v>3</v>
      </c>
      <c r="AF53" s="296">
        <v>3</v>
      </c>
      <c r="AG53" s="296">
        <v>3</v>
      </c>
      <c r="AH53" s="296">
        <v>3</v>
      </c>
      <c r="AI53" s="296">
        <v>3</v>
      </c>
      <c r="AJ53" s="296">
        <v>3</v>
      </c>
      <c r="AK53" s="296">
        <v>3</v>
      </c>
      <c r="AL53" s="296">
        <v>3</v>
      </c>
      <c r="AM53" s="296">
        <v>3</v>
      </c>
      <c r="AN53" s="297">
        <v>3</v>
      </c>
      <c r="AO53" s="295">
        <v>1</v>
      </c>
      <c r="AP53" s="296">
        <v>2</v>
      </c>
      <c r="AQ53" s="296">
        <v>3</v>
      </c>
      <c r="AR53" s="296">
        <v>4</v>
      </c>
      <c r="AS53" s="296">
        <v>3</v>
      </c>
      <c r="AT53" s="296">
        <v>3</v>
      </c>
      <c r="AU53" s="296">
        <v>3</v>
      </c>
      <c r="AV53" s="296">
        <v>3</v>
      </c>
      <c r="AW53" s="296">
        <v>3</v>
      </c>
      <c r="AX53" s="296">
        <v>3</v>
      </c>
      <c r="AY53" s="296">
        <v>3</v>
      </c>
      <c r="AZ53" s="297">
        <v>3</v>
      </c>
      <c r="BA53" s="298">
        <v>3</v>
      </c>
    </row>
    <row r="54" spans="3:59">
      <c r="C54" s="103"/>
      <c r="D54" s="103"/>
    </row>
    <row r="55" spans="3:59">
      <c r="C55" s="103"/>
      <c r="D55" s="103"/>
    </row>
    <row r="56" spans="3:59" ht="15.75" hidden="1" outlineLevel="1">
      <c r="C56" s="103"/>
      <c r="D56" s="186" t="s">
        <v>85</v>
      </c>
      <c r="E56" s="178" t="str">
        <f>+"31-01-"&amp;MID($A$1,3,2)</f>
        <v>31-01-13</v>
      </c>
      <c r="F56" s="178" t="str">
        <f>+"29-02-"&amp;MID($A$1,3,2)</f>
        <v>29-02-13</v>
      </c>
      <c r="G56" s="178" t="str">
        <f>+"31-03-"&amp;MID($A$1,3,2)</f>
        <v>31-03-13</v>
      </c>
      <c r="H56" s="178" t="str">
        <f>+"30-04-"&amp;MID($A$1,3,2)</f>
        <v>30-04-13</v>
      </c>
      <c r="I56" s="178" t="str">
        <f>+"31-05-"&amp;MID($A$1,3,2)</f>
        <v>31-05-13</v>
      </c>
      <c r="J56" s="178" t="str">
        <f>+"30-06-"&amp;MID($A$1,3,2)</f>
        <v>30-06-13</v>
      </c>
      <c r="K56" s="178" t="str">
        <f>+"31-07-"&amp;MID($A$1,3,2)</f>
        <v>31-07-13</v>
      </c>
      <c r="L56" s="178" t="str">
        <f>+"31-08-"&amp;MID($A$1,3,2)</f>
        <v>31-08-13</v>
      </c>
      <c r="M56" s="178" t="str">
        <f>+"30-09-"&amp;MID($A$1,3,2)</f>
        <v>30-09-13</v>
      </c>
      <c r="N56" s="178" t="str">
        <f>+"31-10-"&amp;MID($A$1,3,2)</f>
        <v>31-10-13</v>
      </c>
      <c r="O56" s="178" t="str">
        <f>+"30-11-"&amp;MID($A$1,3,2)</f>
        <v>30-11-13</v>
      </c>
      <c r="P56" s="178" t="str">
        <f>+"31-12-"&amp;MID($A$1,3,2)</f>
        <v>31-12-13</v>
      </c>
      <c r="Q56" s="180" t="str">
        <f>+"31-01-"&amp;MID($A$1,3,2)</f>
        <v>31-01-13</v>
      </c>
      <c r="R56" s="178" t="str">
        <f>+"29-02-"&amp;MID($A$1,3,2)</f>
        <v>29-02-13</v>
      </c>
      <c r="S56" s="178" t="str">
        <f>+"31-03-"&amp;MID($A$1,3,2)</f>
        <v>31-03-13</v>
      </c>
      <c r="T56" s="178" t="str">
        <f>+"30-04-"&amp;MID($A$1,3,2)</f>
        <v>30-04-13</v>
      </c>
      <c r="U56" s="178" t="str">
        <f>+"31-05-"&amp;MID($A$1,3,2)</f>
        <v>31-05-13</v>
      </c>
      <c r="V56" s="178" t="str">
        <f>+"30-06-"&amp;MID($A$1,3,2)</f>
        <v>30-06-13</v>
      </c>
      <c r="W56" s="178" t="str">
        <f>+"31-07-"&amp;MID($A$1,3,2)</f>
        <v>31-07-13</v>
      </c>
      <c r="X56" s="178" t="str">
        <f>+"31-08-"&amp;MID($A$1,3,2)</f>
        <v>31-08-13</v>
      </c>
      <c r="Y56" s="178" t="str">
        <f>+"30-09-"&amp;MID($A$1,3,2)</f>
        <v>30-09-13</v>
      </c>
      <c r="Z56" s="178" t="str">
        <f>+"31-10-"&amp;MID($A$1,3,2)</f>
        <v>31-10-13</v>
      </c>
      <c r="AA56" s="178" t="str">
        <f>+"30-11-"&amp;MID($A$1,3,2)</f>
        <v>30-11-13</v>
      </c>
      <c r="AB56" s="181" t="str">
        <f>+"31-12-"&amp;MID($A$1,3,2)</f>
        <v>31-12-13</v>
      </c>
      <c r="AC56" s="180" t="str">
        <f>+"31-01-"&amp;MID($A$1,3,2)</f>
        <v>31-01-13</v>
      </c>
      <c r="AD56" s="178" t="str">
        <f>+"29-02-"&amp;MID($A$1,3,2)</f>
        <v>29-02-13</v>
      </c>
      <c r="AE56" s="178" t="str">
        <f>+"31-03-"&amp;MID($A$1,3,2)</f>
        <v>31-03-13</v>
      </c>
      <c r="AF56" s="178" t="str">
        <f>+"30-04-"&amp;MID($A$1,3,2)</f>
        <v>30-04-13</v>
      </c>
      <c r="AG56" s="178" t="str">
        <f>+"31-05-"&amp;MID($A$1,3,2)</f>
        <v>31-05-13</v>
      </c>
      <c r="AH56" s="178" t="str">
        <f>+"30-06-"&amp;MID($A$1,3,2)</f>
        <v>30-06-13</v>
      </c>
      <c r="AI56" s="178" t="str">
        <f>+"31-07-"&amp;MID($A$1,3,2)</f>
        <v>31-07-13</v>
      </c>
      <c r="AJ56" s="178" t="str">
        <f>+"31-08-"&amp;MID($A$1,3,2)</f>
        <v>31-08-13</v>
      </c>
      <c r="AK56" s="178" t="str">
        <f>+"30-09-"&amp;MID($A$1,3,2)</f>
        <v>30-09-13</v>
      </c>
      <c r="AL56" s="178" t="str">
        <f>+"31-10-"&amp;MID($A$1,3,2)</f>
        <v>31-10-13</v>
      </c>
      <c r="AM56" s="178" t="str">
        <f>+"30-11-"&amp;MID($A$1,3,2)</f>
        <v>30-11-13</v>
      </c>
      <c r="AN56" s="181" t="str">
        <f>+"31-12-"&amp;MID($A$1,3,2)</f>
        <v>31-12-13</v>
      </c>
      <c r="AO56" s="178" t="str">
        <f>+"31-01-"&amp;MID($A$1,3,2)-1</f>
        <v>31-01-12</v>
      </c>
      <c r="AP56" s="178" t="str">
        <f>+"29-02-"&amp;MID($A$1,3,2)-1</f>
        <v>29-02-12</v>
      </c>
      <c r="AQ56" s="178" t="str">
        <f>+"31-03-"&amp;MID($A$1,3,2)-1</f>
        <v>31-03-12</v>
      </c>
      <c r="AR56" s="178" t="str">
        <f>+"30-04-"&amp;MID($A$1,3,2)-1</f>
        <v>30-04-12</v>
      </c>
      <c r="AS56" s="178" t="str">
        <f>+"31-05-"&amp;MID($A$1,3,2)-1</f>
        <v>31-05-12</v>
      </c>
      <c r="AT56" s="178" t="str">
        <f>+"30-06-"&amp;MID($A$1,3,2)-1</f>
        <v>30-06-12</v>
      </c>
      <c r="AU56" s="178" t="str">
        <f>+"31-07-"&amp;MID($A$1,3,2)-1</f>
        <v>31-07-12</v>
      </c>
      <c r="AV56" s="178" t="str">
        <f>+"31-08-"&amp;MID($A$1,3,2)-1</f>
        <v>31-08-12</v>
      </c>
      <c r="AW56" s="178" t="str">
        <f>+"30-09-"&amp;MID($A$1,3,2)-1</f>
        <v>30-09-12</v>
      </c>
      <c r="AX56" s="178" t="str">
        <f>+"31-10-"&amp;MID($A$1,3,2)-1</f>
        <v>31-10-12</v>
      </c>
      <c r="AY56" s="178" t="str">
        <f>+"29-02-"&amp;MID($A$1,3,2)-1</f>
        <v>29-02-12</v>
      </c>
      <c r="AZ56" s="181" t="str">
        <f>+"31-12-"&amp;MID($A$1,3,2)-1</f>
        <v>31-12-12</v>
      </c>
      <c r="BA56" s="179" t="str">
        <f>+"31-12-"&amp;MID($A$1,3,2)-1</f>
        <v>31-12-12</v>
      </c>
      <c r="BB56" s="126"/>
      <c r="BC56" s="126"/>
      <c r="BD56" s="126"/>
      <c r="BE56" s="126"/>
      <c r="BF56" s="126"/>
      <c r="BG56" s="126"/>
    </row>
    <row r="57" spans="3:59" ht="16.5" hidden="1" outlineLevel="1" thickBot="1">
      <c r="C57" s="103"/>
      <c r="D57" s="103"/>
      <c r="E57" s="128" t="s">
        <v>7</v>
      </c>
      <c r="F57" s="128" t="s">
        <v>7</v>
      </c>
      <c r="G57" s="128" t="s">
        <v>7</v>
      </c>
      <c r="H57" s="128" t="s">
        <v>7</v>
      </c>
      <c r="I57" s="128" t="s">
        <v>7</v>
      </c>
      <c r="J57" s="128" t="s">
        <v>7</v>
      </c>
      <c r="K57" s="128" t="s">
        <v>7</v>
      </c>
      <c r="L57" s="128" t="s">
        <v>7</v>
      </c>
      <c r="M57" s="128" t="s">
        <v>7</v>
      </c>
      <c r="N57" s="128" t="s">
        <v>7</v>
      </c>
      <c r="O57" s="128" t="s">
        <v>7</v>
      </c>
      <c r="P57" s="127" t="s">
        <v>7</v>
      </c>
      <c r="Q57" s="129" t="s">
        <v>145</v>
      </c>
      <c r="R57" s="128" t="s">
        <v>145</v>
      </c>
      <c r="S57" s="128" t="s">
        <v>145</v>
      </c>
      <c r="T57" s="128" t="s">
        <v>145</v>
      </c>
      <c r="U57" s="128" t="s">
        <v>145</v>
      </c>
      <c r="V57" s="128" t="s">
        <v>145</v>
      </c>
      <c r="W57" s="128" t="s">
        <v>145</v>
      </c>
      <c r="X57" s="128" t="s">
        <v>145</v>
      </c>
      <c r="Y57" s="128" t="s">
        <v>145</v>
      </c>
      <c r="Z57" s="128" t="s">
        <v>145</v>
      </c>
      <c r="AA57" s="128" t="s">
        <v>145</v>
      </c>
      <c r="AB57" s="127" t="s">
        <v>145</v>
      </c>
      <c r="AC57" s="129" t="s">
        <v>9</v>
      </c>
      <c r="AD57" s="128" t="s">
        <v>9</v>
      </c>
      <c r="AE57" s="128" t="s">
        <v>9</v>
      </c>
      <c r="AF57" s="128" t="s">
        <v>9</v>
      </c>
      <c r="AG57" s="128" t="s">
        <v>9</v>
      </c>
      <c r="AH57" s="128" t="s">
        <v>9</v>
      </c>
      <c r="AI57" s="128" t="s">
        <v>9</v>
      </c>
      <c r="AJ57" s="128" t="s">
        <v>9</v>
      </c>
      <c r="AK57" s="128" t="s">
        <v>9</v>
      </c>
      <c r="AL57" s="128" t="s">
        <v>9</v>
      </c>
      <c r="AM57" s="128" t="s">
        <v>9</v>
      </c>
      <c r="AN57" s="127" t="s">
        <v>9</v>
      </c>
      <c r="AO57" s="128" t="s">
        <v>7</v>
      </c>
      <c r="AP57" s="128" t="s">
        <v>7</v>
      </c>
      <c r="AQ57" s="128" t="s">
        <v>7</v>
      </c>
      <c r="AR57" s="128" t="s">
        <v>7</v>
      </c>
      <c r="AS57" s="128" t="s">
        <v>7</v>
      </c>
      <c r="AT57" s="128" t="s">
        <v>7</v>
      </c>
      <c r="AU57" s="128" t="s">
        <v>7</v>
      </c>
      <c r="AV57" s="128" t="s">
        <v>7</v>
      </c>
      <c r="AW57" s="128" t="s">
        <v>7</v>
      </c>
      <c r="AX57" s="128" t="s">
        <v>7</v>
      </c>
      <c r="AY57" s="128" t="s">
        <v>7</v>
      </c>
      <c r="AZ57" s="127" t="s">
        <v>7</v>
      </c>
      <c r="BA57" s="130" t="s">
        <v>8</v>
      </c>
      <c r="BB57" s="126"/>
      <c r="BC57" s="126"/>
      <c r="BD57" s="126"/>
      <c r="BE57" s="126"/>
      <c r="BF57" s="126"/>
      <c r="BG57" s="126"/>
    </row>
    <row r="58" spans="3:59" ht="16.5" hidden="1" outlineLevel="1" thickBot="1">
      <c r="C58" s="103"/>
      <c r="D58" s="194" t="s">
        <v>84</v>
      </c>
      <c r="E58" s="195">
        <f t="shared" ref="E58:AB58" si="73">IF(E$59&gt;0,E21/(E$59*(12/E$60)/365),0)</f>
        <v>-54.860502903236416</v>
      </c>
      <c r="F58" s="195">
        <f t="shared" si="73"/>
        <v>-69.909344497998106</v>
      </c>
      <c r="G58" s="195">
        <f t="shared" si="73"/>
        <v>-88.856197705288125</v>
      </c>
      <c r="H58" s="195">
        <f t="shared" si="73"/>
        <v>-66.901948200722117</v>
      </c>
      <c r="I58" s="195">
        <f t="shared" si="73"/>
        <v>0</v>
      </c>
      <c r="J58" s="196">
        <f t="shared" si="73"/>
        <v>0</v>
      </c>
      <c r="K58" s="196">
        <f t="shared" si="73"/>
        <v>0</v>
      </c>
      <c r="L58" s="196">
        <f t="shared" si="73"/>
        <v>0</v>
      </c>
      <c r="M58" s="196">
        <f t="shared" si="73"/>
        <v>0</v>
      </c>
      <c r="N58" s="196">
        <f t="shared" si="73"/>
        <v>0</v>
      </c>
      <c r="O58" s="196">
        <f t="shared" si="73"/>
        <v>0</v>
      </c>
      <c r="P58" s="197">
        <f t="shared" si="73"/>
        <v>0</v>
      </c>
      <c r="Q58" s="195">
        <f t="shared" si="73"/>
        <v>-54.860502903236416</v>
      </c>
      <c r="R58" s="195">
        <f t="shared" si="73"/>
        <v>-69.909344497998106</v>
      </c>
      <c r="S58" s="195">
        <f t="shared" si="73"/>
        <v>-88.856197705288125</v>
      </c>
      <c r="T58" s="195">
        <f t="shared" si="73"/>
        <v>-94.371343880360385</v>
      </c>
      <c r="U58" s="195">
        <f t="shared" si="73"/>
        <v>-92.307712008696328</v>
      </c>
      <c r="V58" s="195">
        <f t="shared" si="73"/>
        <v>-89.399511479536969</v>
      </c>
      <c r="W58" s="195">
        <f t="shared" si="73"/>
        <v>-91.329143538663573</v>
      </c>
      <c r="X58" s="195">
        <f t="shared" si="73"/>
        <v>-85.526986112600341</v>
      </c>
      <c r="Y58" s="195">
        <f t="shared" si="73"/>
        <v>-91.526295647404396</v>
      </c>
      <c r="Z58" s="195">
        <f t="shared" si="73"/>
        <v>-96.831631986611839</v>
      </c>
      <c r="AA58" s="195">
        <f t="shared" si="73"/>
        <v>-92.434596724868442</v>
      </c>
      <c r="AB58" s="199">
        <f t="shared" si="73"/>
        <v>-87.296955911447739</v>
      </c>
      <c r="AC58" s="195">
        <f t="shared" ref="AC58:BA58" si="74">IF(AC$59&gt;0,AC21/(AC$59*(12/AC$60)/365),0)</f>
        <v>-74.82529813830908</v>
      </c>
      <c r="AD58" s="195">
        <f t="shared" si="74"/>
        <v>-95.43246375018245</v>
      </c>
      <c r="AE58" s="195">
        <f t="shared" si="74"/>
        <v>-98.443038829426172</v>
      </c>
      <c r="AF58" s="195">
        <f t="shared" si="74"/>
        <v>-92.52082584719814</v>
      </c>
      <c r="AG58" s="195">
        <f t="shared" si="74"/>
        <v>-89.740153244986956</v>
      </c>
      <c r="AH58" s="195">
        <f t="shared" si="74"/>
        <v>-88.101135938078158</v>
      </c>
      <c r="AI58" s="195">
        <f t="shared" si="74"/>
        <v>-92.93273037939349</v>
      </c>
      <c r="AJ58" s="195">
        <f t="shared" si="74"/>
        <v>-90.052839178172064</v>
      </c>
      <c r="AK58" s="195">
        <f t="shared" si="74"/>
        <v>-93.829203516869029</v>
      </c>
      <c r="AL58" s="195">
        <f t="shared" si="74"/>
        <v>-105.90964228705855</v>
      </c>
      <c r="AM58" s="195">
        <f t="shared" si="74"/>
        <v>-96.684873228927771</v>
      </c>
      <c r="AN58" s="199">
        <f t="shared" si="74"/>
        <v>-93.614671417034813</v>
      </c>
      <c r="AO58" s="195">
        <f t="shared" si="74"/>
        <v>-0.15864790856402022</v>
      </c>
      <c r="AP58" s="195">
        <f t="shared" si="74"/>
        <v>-72.4387557439413</v>
      </c>
      <c r="AQ58" s="195">
        <f t="shared" si="74"/>
        <v>-82.389104502755643</v>
      </c>
      <c r="AR58" s="195">
        <f t="shared" si="74"/>
        <v>-80.87990526207642</v>
      </c>
      <c r="AS58" s="195">
        <f t="shared" si="74"/>
        <v>-65.158700006710646</v>
      </c>
      <c r="AT58" s="196">
        <f t="shared" si="74"/>
        <v>-87.944023692954431</v>
      </c>
      <c r="AU58" s="196">
        <f t="shared" si="74"/>
        <v>-68.447274454251016</v>
      </c>
      <c r="AV58" s="196">
        <f t="shared" si="74"/>
        <v>-62.799878742303044</v>
      </c>
      <c r="AW58" s="196">
        <f t="shared" si="74"/>
        <v>-81.819926979139083</v>
      </c>
      <c r="AX58" s="196">
        <f t="shared" si="74"/>
        <v>-67.095957755419036</v>
      </c>
      <c r="AY58" s="196">
        <f t="shared" si="74"/>
        <v>-68.203401800394062</v>
      </c>
      <c r="AZ58" s="197">
        <f t="shared" si="74"/>
        <v>-88.337223520462558</v>
      </c>
      <c r="BA58" s="198">
        <f t="shared" si="74"/>
        <v>-83.190563927942691</v>
      </c>
    </row>
    <row r="59" spans="3:59" ht="15.75" hidden="1" outlineLevel="1">
      <c r="C59" s="103"/>
      <c r="D59" s="200" t="s">
        <v>83</v>
      </c>
      <c r="E59" s="189">
        <f t="shared" ref="E59:AB59" si="75">-E120</f>
        <v>10114.12925</v>
      </c>
      <c r="F59" s="189">
        <f t="shared" si="75"/>
        <v>20978.781849999999</v>
      </c>
      <c r="G59" s="189">
        <f t="shared" si="75"/>
        <v>33374.909</v>
      </c>
      <c r="H59" s="189">
        <f t="shared" si="75"/>
        <v>33039.290700000005</v>
      </c>
      <c r="I59" s="189">
        <f t="shared" si="75"/>
        <v>-20978.781849999999</v>
      </c>
      <c r="J59" s="190">
        <f t="shared" si="75"/>
        <v>-33374.909</v>
      </c>
      <c r="K59" s="190">
        <f t="shared" si="75"/>
        <v>-43153.419950000003</v>
      </c>
      <c r="L59" s="190">
        <f t="shared" si="75"/>
        <v>0</v>
      </c>
      <c r="M59" s="190">
        <f t="shared" si="75"/>
        <v>0</v>
      </c>
      <c r="N59" s="190">
        <f t="shared" si="75"/>
        <v>0</v>
      </c>
      <c r="O59" s="190">
        <f t="shared" si="75"/>
        <v>0</v>
      </c>
      <c r="P59" s="191">
        <f t="shared" si="75"/>
        <v>0</v>
      </c>
      <c r="Q59" s="189">
        <f t="shared" si="75"/>
        <v>10114.12925</v>
      </c>
      <c r="R59" s="189">
        <f t="shared" si="75"/>
        <v>20978.781849999999</v>
      </c>
      <c r="S59" s="189">
        <f t="shared" si="75"/>
        <v>33374.909</v>
      </c>
      <c r="T59" s="189">
        <f t="shared" si="75"/>
        <v>33712.612249999998</v>
      </c>
      <c r="U59" s="189">
        <f t="shared" si="75"/>
        <v>32505.176649999994</v>
      </c>
      <c r="V59" s="189">
        <f t="shared" si="75"/>
        <v>30989.858449999992</v>
      </c>
      <c r="W59" s="189">
        <f t="shared" si="75"/>
        <v>31268.560949999992</v>
      </c>
      <c r="X59" s="189">
        <f t="shared" si="75"/>
        <v>30852.363299999997</v>
      </c>
      <c r="Y59" s="189">
        <f t="shared" si="75"/>
        <v>30535.330149999987</v>
      </c>
      <c r="Z59" s="189">
        <f t="shared" si="75"/>
        <v>30016.672100000011</v>
      </c>
      <c r="AA59" s="189">
        <f t="shared" si="75"/>
        <v>28343.24040000001</v>
      </c>
      <c r="AB59" s="193">
        <f t="shared" si="75"/>
        <v>23513.360000000015</v>
      </c>
      <c r="AC59" s="189">
        <f t="shared" ref="AC59:BA59" si="76">-AC120</f>
        <v>8677.0731500000002</v>
      </c>
      <c r="AD59" s="189">
        <f t="shared" si="76"/>
        <v>18773.065749999998</v>
      </c>
      <c r="AE59" s="189">
        <f t="shared" si="76"/>
        <v>30003.110149999997</v>
      </c>
      <c r="AF59" s="189">
        <f t="shared" si="76"/>
        <v>33239.085949999993</v>
      </c>
      <c r="AG59" s="189">
        <f t="shared" si="76"/>
        <v>32802.077900000004</v>
      </c>
      <c r="AH59" s="189">
        <f t="shared" si="76"/>
        <v>31767.365399999991</v>
      </c>
      <c r="AI59" s="189">
        <f t="shared" si="76"/>
        <v>31230.671899999994</v>
      </c>
      <c r="AJ59" s="189">
        <f t="shared" si="76"/>
        <v>29853.511249999996</v>
      </c>
      <c r="AK59" s="189">
        <f t="shared" si="76"/>
        <v>30304.91614999999</v>
      </c>
      <c r="AL59" s="189">
        <f t="shared" si="76"/>
        <v>27980.476349999983</v>
      </c>
      <c r="AM59" s="189">
        <f t="shared" si="76"/>
        <v>27657.317150000003</v>
      </c>
      <c r="AN59" s="193">
        <f t="shared" si="76"/>
        <v>22404.270100000023</v>
      </c>
      <c r="AO59" s="189">
        <f t="shared" si="76"/>
        <v>9864.6010999999999</v>
      </c>
      <c r="AP59" s="189">
        <f t="shared" si="76"/>
        <v>20990.878700000001</v>
      </c>
      <c r="AQ59" s="189">
        <f t="shared" si="76"/>
        <v>30598.745749999998</v>
      </c>
      <c r="AR59" s="189">
        <f t="shared" si="76"/>
        <v>39334.42059999999</v>
      </c>
      <c r="AS59" s="189">
        <f t="shared" si="76"/>
        <v>25829.957949999989</v>
      </c>
      <c r="AT59" s="190">
        <f t="shared" si="76"/>
        <v>25655.4581</v>
      </c>
      <c r="AU59" s="190">
        <f t="shared" si="76"/>
        <v>28471.589600000014</v>
      </c>
      <c r="AV59" s="190">
        <f t="shared" si="76"/>
        <v>28855.075500000014</v>
      </c>
      <c r="AW59" s="190">
        <f t="shared" si="76"/>
        <v>26926.990099999988</v>
      </c>
      <c r="AX59" s="190">
        <f t="shared" si="76"/>
        <v>24534.403599999991</v>
      </c>
      <c r="AY59" s="190">
        <f t="shared" si="76"/>
        <v>24436.677750000003</v>
      </c>
      <c r="AZ59" s="191">
        <f t="shared" si="76"/>
        <v>21081.655100000004</v>
      </c>
      <c r="BA59" s="192">
        <f t="shared" si="76"/>
        <v>23085.022950000013</v>
      </c>
    </row>
    <row r="60" spans="3:59" ht="16.5" hidden="1" outlineLevel="1" thickBot="1">
      <c r="C60" s="103"/>
      <c r="D60" s="201" t="s">
        <v>82</v>
      </c>
      <c r="E60" s="47">
        <v>1</v>
      </c>
      <c r="F60" s="50">
        <v>2</v>
      </c>
      <c r="G60" s="46">
        <v>3</v>
      </c>
      <c r="H60" s="46">
        <v>3</v>
      </c>
      <c r="I60" s="46">
        <v>3</v>
      </c>
      <c r="J60" s="46">
        <v>3</v>
      </c>
      <c r="K60" s="46">
        <v>3</v>
      </c>
      <c r="L60" s="46">
        <v>3</v>
      </c>
      <c r="M60" s="46">
        <v>3</v>
      </c>
      <c r="N60" s="46">
        <v>3</v>
      </c>
      <c r="O60" s="46">
        <v>3</v>
      </c>
      <c r="P60" s="48">
        <v>3</v>
      </c>
      <c r="Q60" s="47">
        <v>1</v>
      </c>
      <c r="R60" s="50">
        <v>2</v>
      </c>
      <c r="S60" s="46">
        <v>3</v>
      </c>
      <c r="T60" s="46">
        <v>3</v>
      </c>
      <c r="U60" s="46">
        <v>3</v>
      </c>
      <c r="V60" s="46">
        <v>3</v>
      </c>
      <c r="W60" s="46">
        <v>3</v>
      </c>
      <c r="X60" s="46">
        <v>3</v>
      </c>
      <c r="Y60" s="46">
        <v>3</v>
      </c>
      <c r="Z60" s="46">
        <v>3</v>
      </c>
      <c r="AA60" s="46">
        <v>3</v>
      </c>
      <c r="AB60" s="48">
        <v>3</v>
      </c>
      <c r="AC60" s="47">
        <v>1</v>
      </c>
      <c r="AD60" s="50">
        <v>2</v>
      </c>
      <c r="AE60" s="46">
        <v>3</v>
      </c>
      <c r="AF60" s="46">
        <v>3</v>
      </c>
      <c r="AG60" s="46">
        <v>3</v>
      </c>
      <c r="AH60" s="46">
        <v>3</v>
      </c>
      <c r="AI60" s="46">
        <v>3</v>
      </c>
      <c r="AJ60" s="46">
        <v>3</v>
      </c>
      <c r="AK60" s="46">
        <v>3</v>
      </c>
      <c r="AL60" s="46">
        <v>3</v>
      </c>
      <c r="AM60" s="46">
        <v>3</v>
      </c>
      <c r="AN60" s="48">
        <v>3</v>
      </c>
      <c r="AO60" s="47">
        <v>1</v>
      </c>
      <c r="AP60" s="50">
        <v>2</v>
      </c>
      <c r="AQ60" s="46">
        <v>3</v>
      </c>
      <c r="AR60" s="51">
        <v>4</v>
      </c>
      <c r="AS60" s="46">
        <v>3</v>
      </c>
      <c r="AT60" s="46">
        <v>3</v>
      </c>
      <c r="AU60" s="46">
        <v>3</v>
      </c>
      <c r="AV60" s="46">
        <v>3</v>
      </c>
      <c r="AW60" s="46">
        <v>3</v>
      </c>
      <c r="AX60" s="50">
        <v>3</v>
      </c>
      <c r="AY60" s="46">
        <v>3</v>
      </c>
      <c r="AZ60" s="48">
        <v>3</v>
      </c>
      <c r="BA60" s="49">
        <v>3</v>
      </c>
    </row>
    <row r="61" spans="3:59" hidden="1" outlineLevel="1">
      <c r="C61" s="103"/>
      <c r="D61" s="103"/>
    </row>
    <row r="62" spans="3:59" collapsed="1">
      <c r="C62" s="103"/>
      <c r="D62" s="103"/>
    </row>
    <row r="63" spans="3:59">
      <c r="C63" s="103"/>
      <c r="D63" s="103"/>
    </row>
    <row r="64" spans="3:59">
      <c r="C64" s="103"/>
      <c r="D64" s="103"/>
    </row>
    <row r="65" spans="2:53">
      <c r="C65" s="103"/>
      <c r="D65" s="103"/>
    </row>
    <row r="66" spans="2:53">
      <c r="C66" s="103"/>
      <c r="D66" s="103"/>
    </row>
    <row r="67" spans="2:53">
      <c r="C67" s="103"/>
      <c r="D67" s="103"/>
    </row>
    <row r="68" spans="2:53" hidden="1" outlineLevel="1">
      <c r="C68" s="103"/>
      <c r="D68" s="103"/>
    </row>
    <row r="69" spans="2:53" hidden="1" outlineLevel="1">
      <c r="C69" s="103"/>
      <c r="D69" s="103"/>
    </row>
    <row r="70" spans="2:53" s="147" customFormat="1" hidden="1" outlineLevel="1">
      <c r="B70" s="202" t="str">
        <f>_xll.IdPrj.AnalyzerFuncs.AnalyzerOLAPMember("[Partner].[Partner 1].&amp;[0]","","No Partner","","-524279.-524279.0","[Partner]","000","D0")</f>
        <v>No Partner</v>
      </c>
      <c r="C70" s="202" t="str">
        <f>_xll.IdPrj.AnalyzerFuncs.AnalyzerOLAPMember("[Account].[Reporting Hierarchy].&amp;[935]","","BS2000 - BS_Net Inventory","","-524283.-524283.935","[Account].[Reporting Hierarchy]","000","D1")</f>
        <v>BS2000 - BS_Net Inventory</v>
      </c>
      <c r="D70" s="203" t="str">
        <f>_xll.IdPrj.AnalyzerFuncs.AnalyzerOLAPMember("[Destination].&amp;[0]","","No Destination","","2.2.0","[Destination]","000","D2")</f>
        <v>No Destination</v>
      </c>
      <c r="E70" s="147">
        <v>15488.95982</v>
      </c>
      <c r="F70" s="147">
        <v>16155.17635</v>
      </c>
      <c r="G70" s="147">
        <v>15872.05766</v>
      </c>
      <c r="H70" s="147">
        <v>15069.483819999999</v>
      </c>
      <c r="Q70" s="204">
        <v>15488.95982</v>
      </c>
      <c r="R70" s="204">
        <v>16155.17635</v>
      </c>
      <c r="S70" s="204">
        <v>15872.05766</v>
      </c>
      <c r="T70" s="204">
        <v>15886.375</v>
      </c>
      <c r="U70" s="204">
        <v>15964.165000000001</v>
      </c>
      <c r="V70" s="204">
        <v>15402.014999999999</v>
      </c>
      <c r="W70" s="204">
        <v>16317.434999999999</v>
      </c>
      <c r="X70" s="204">
        <v>15356.775</v>
      </c>
      <c r="Y70" s="204">
        <v>14646.205</v>
      </c>
      <c r="Z70" s="204">
        <v>13617.545</v>
      </c>
      <c r="AA70" s="204">
        <v>12673.285</v>
      </c>
      <c r="AB70" s="204">
        <v>12618.415000000001</v>
      </c>
      <c r="AC70" s="204">
        <v>16341.571</v>
      </c>
      <c r="AD70" s="204">
        <v>16473.010999999999</v>
      </c>
      <c r="AE70" s="204">
        <v>16005.370999999999</v>
      </c>
      <c r="AF70" s="204">
        <v>15837.721</v>
      </c>
      <c r="AG70" s="204">
        <v>16070.161</v>
      </c>
      <c r="AH70" s="204">
        <v>15701.511</v>
      </c>
      <c r="AI70" s="204">
        <v>16897.848000000002</v>
      </c>
      <c r="AJ70" s="204">
        <v>15833.188</v>
      </c>
      <c r="AK70" s="204">
        <v>15267.618</v>
      </c>
      <c r="AL70" s="204">
        <v>14102.958000000001</v>
      </c>
      <c r="AM70" s="204">
        <v>13439.698</v>
      </c>
      <c r="AN70" s="204">
        <v>13376.828</v>
      </c>
      <c r="AO70" s="147">
        <v>-4.0119999999999969</v>
      </c>
      <c r="AP70" s="147">
        <v>23662.779337399999</v>
      </c>
      <c r="AQ70" s="147">
        <v>21795.624796799999</v>
      </c>
      <c r="AR70" s="147">
        <v>20468.713</v>
      </c>
      <c r="AS70" s="147">
        <v>20856.592789999999</v>
      </c>
      <c r="AT70" s="147">
        <v>20428.82861</v>
      </c>
      <c r="AU70" s="147">
        <v>21764.831010000002</v>
      </c>
      <c r="AV70" s="147">
        <v>20058.942219999997</v>
      </c>
      <c r="AW70" s="147">
        <v>17901.920570000002</v>
      </c>
      <c r="AX70" s="147">
        <v>16428.44699</v>
      </c>
      <c r="AY70" s="147">
        <v>15417.60009</v>
      </c>
      <c r="AZ70" s="147">
        <v>14536.2363</v>
      </c>
      <c r="BA70" s="204">
        <v>15643.991</v>
      </c>
    </row>
    <row r="71" spans="2:53" s="147" customFormat="1" hidden="1" outlineLevel="1">
      <c r="C71" s="202" t="str">
        <f>_xll.IdPrj.AnalyzerFuncs.AnalyzerOLAPMember("[Account].[Reporting Hierarchy].&amp;[944]","","BS3000 - BS_Net Current Receivables RESTATED","","-524283.-524283.944","[Account].[Reporting Hierarchy]","000","D1")</f>
        <v>BS3000 - BS_Net Current Receivables RESTATED</v>
      </c>
      <c r="D71" s="203" t="str">
        <f>_xll.IdPrj.AnalyzerFuncs.AnalyzerOLAPMember("[Destination].&amp;[0]","","No Destination","","2.2.0","[Destination]","000","D2")</f>
        <v>No Destination</v>
      </c>
      <c r="E71" s="147">
        <v>27500.359</v>
      </c>
      <c r="F71" s="147">
        <v>32167.532999999999</v>
      </c>
      <c r="G71" s="147">
        <v>40672.036999999997</v>
      </c>
      <c r="H71" s="147">
        <v>40842.099000000002</v>
      </c>
      <c r="Q71" s="204">
        <v>27500.359</v>
      </c>
      <c r="R71" s="204">
        <v>32167.532999999999</v>
      </c>
      <c r="S71" s="204">
        <v>40672.036999999997</v>
      </c>
      <c r="T71" s="204">
        <v>50770.184999999998</v>
      </c>
      <c r="U71" s="204">
        <v>49243.093000000001</v>
      </c>
      <c r="V71" s="204">
        <v>47115.097999999998</v>
      </c>
      <c r="W71" s="204">
        <v>44076.383000000002</v>
      </c>
      <c r="X71" s="204">
        <v>43648.43</v>
      </c>
      <c r="Y71" s="204">
        <v>43986.112000000001</v>
      </c>
      <c r="Z71" s="204">
        <v>43411.186000000002</v>
      </c>
      <c r="AA71" s="204">
        <v>41176.385999999999</v>
      </c>
      <c r="AB71" s="204">
        <v>31259.692999999999</v>
      </c>
      <c r="AC71" s="204">
        <v>33473.055999999997</v>
      </c>
      <c r="AD71" s="204">
        <v>38306.027999999998</v>
      </c>
      <c r="AE71" s="204">
        <v>44358.237000000001</v>
      </c>
      <c r="AF71" s="204">
        <v>50554.972000000002</v>
      </c>
      <c r="AG71" s="204">
        <v>50482.2</v>
      </c>
      <c r="AH71" s="204">
        <v>49415.713000000003</v>
      </c>
      <c r="AI71" s="204">
        <v>46562.881999999998</v>
      </c>
      <c r="AJ71" s="204">
        <v>46786.646999999997</v>
      </c>
      <c r="AK71" s="204">
        <v>46974.701999999997</v>
      </c>
      <c r="AL71" s="204">
        <v>46423.665000000001</v>
      </c>
      <c r="AM71" s="204">
        <v>44075.527000000002</v>
      </c>
      <c r="AN71" s="204">
        <v>33911.701000000001</v>
      </c>
      <c r="AO71" s="147">
        <v>1687.2809999999999</v>
      </c>
      <c r="AP71" s="147">
        <v>40300.606</v>
      </c>
      <c r="AQ71" s="147">
        <v>43298.025999999998</v>
      </c>
      <c r="AR71" s="147">
        <v>42103.241999999998</v>
      </c>
      <c r="AS71" s="147">
        <v>37084.385999999999</v>
      </c>
      <c r="AT71" s="147">
        <v>36617.014999999999</v>
      </c>
      <c r="AU71" s="147">
        <v>35119.216</v>
      </c>
      <c r="AV71" s="147">
        <v>35112.319000000003</v>
      </c>
      <c r="AW71" s="147">
        <v>36933.339</v>
      </c>
      <c r="AX71" s="147">
        <v>38725.714999999997</v>
      </c>
      <c r="AY71" s="147">
        <v>36964.03</v>
      </c>
      <c r="AZ71" s="147">
        <v>27866.39</v>
      </c>
      <c r="BA71" s="204">
        <v>37060.224999999999</v>
      </c>
    </row>
    <row r="72" spans="2:53" s="147" customFormat="1" hidden="1" outlineLevel="1">
      <c r="B72" s="147" t="str">
        <f>_xll.IdPrj.AnalyzerFuncs.AnalyzerOLAPMember("[Partner].[All detailed Partner]","","All detailed Partner","","AllIdent","[Partner]","000","D0")</f>
        <v>All detailed Partner</v>
      </c>
      <c r="C72" s="202" t="str">
        <f>_xll.IdPrj.AnalyzerFuncs.AnalyzerOLAPMember("[Account].[Reporting Hierarchy].&amp;[944]","","BS3000 - BS_Net Current Receivables RESTATED","","-524283.-524283.944","[Account].[Reporting Hierarchy]","000","D1")</f>
        <v>BS3000 - BS_Net Current Receivables RESTATED</v>
      </c>
      <c r="D72" s="203" t="str">
        <f>_xll.IdPrj.AnalyzerFuncs.AnalyzerOLAPMember("[Destination].&amp;[0]","","No Destination","","2.2.0","[Destination]","000","D2")</f>
        <v>No Destination</v>
      </c>
      <c r="E72" s="205">
        <v>13864.09</v>
      </c>
      <c r="F72" s="147">
        <v>15272.727999999999</v>
      </c>
      <c r="G72" s="147">
        <v>16640.243999999999</v>
      </c>
      <c r="H72" s="147">
        <v>15347.996999999999</v>
      </c>
      <c r="Q72" s="204">
        <v>13864.09</v>
      </c>
      <c r="R72" s="204">
        <v>15272.727999999999</v>
      </c>
      <c r="S72" s="204">
        <v>16640.243999999999</v>
      </c>
      <c r="T72" s="204">
        <v>41720.184999999998</v>
      </c>
      <c r="U72" s="204">
        <v>40193.093000000001</v>
      </c>
      <c r="V72" s="204">
        <v>38065.097999999998</v>
      </c>
      <c r="W72" s="204">
        <v>35026.383000000002</v>
      </c>
      <c r="X72" s="204">
        <v>34598.43</v>
      </c>
      <c r="Y72" s="204">
        <v>34936.112000000001</v>
      </c>
      <c r="Z72" s="204">
        <v>34361.186000000002</v>
      </c>
      <c r="AA72" s="204">
        <v>32126.385999999999</v>
      </c>
      <c r="AB72" s="204">
        <v>22209.692999999999</v>
      </c>
      <c r="AC72" s="204">
        <v>24424.753000000001</v>
      </c>
      <c r="AD72" s="204">
        <v>29257.724999999999</v>
      </c>
      <c r="AE72" s="204">
        <v>35309.934000000001</v>
      </c>
      <c r="AF72" s="204">
        <v>41506.669000000002</v>
      </c>
      <c r="AG72" s="204">
        <v>41433.896999999997</v>
      </c>
      <c r="AH72" s="204">
        <v>40367.410000000003</v>
      </c>
      <c r="AI72" s="204">
        <v>37514.578999999998</v>
      </c>
      <c r="AJ72" s="204">
        <v>37738.343999999997</v>
      </c>
      <c r="AK72" s="204">
        <v>37926.398999999998</v>
      </c>
      <c r="AL72" s="204">
        <v>37375.362000000001</v>
      </c>
      <c r="AM72" s="204">
        <v>35027.224000000002</v>
      </c>
      <c r="AN72" s="204">
        <v>24863.398000000001</v>
      </c>
      <c r="AO72" s="205">
        <v>-18051.016</v>
      </c>
      <c r="AP72" s="147">
        <v>22032.888999999999</v>
      </c>
      <c r="AQ72" s="147">
        <v>26429.686000000002</v>
      </c>
      <c r="AR72" s="147">
        <v>27483</v>
      </c>
      <c r="AS72" s="147">
        <v>24320.061000000002</v>
      </c>
      <c r="AT72" s="147">
        <v>21716.496999999999</v>
      </c>
      <c r="AU72" s="147">
        <v>13073.177</v>
      </c>
      <c r="AV72" s="147">
        <v>15710.619000000001</v>
      </c>
      <c r="AW72" s="147">
        <v>19198.553</v>
      </c>
      <c r="AX72" s="147">
        <v>19768.556</v>
      </c>
      <c r="AY72" s="147">
        <v>16669.933000000001</v>
      </c>
      <c r="AZ72" s="147">
        <v>12693.816999999999</v>
      </c>
      <c r="BA72" s="204">
        <v>23939.494999999999</v>
      </c>
    </row>
    <row r="73" spans="2:53" s="147" customFormat="1" hidden="1" outlineLevel="1">
      <c r="B73" s="202" t="str">
        <f>_xll.IdPrj.AnalyzerFuncs.AnalyzerOLAPMember("[Partner].[Partner 1].&amp;[4]","","S9999 - Third Parties","","-524279.-524279.4","[Partner]","000","D0")</f>
        <v>S9999 - Third Parties</v>
      </c>
      <c r="C73" s="202" t="str">
        <f>_xll.IdPrj.AnalyzerFuncs.AnalyzerOLAPMember("[Account].[Reporting Hierarchy].&amp;[944]","","BS3000 - BS_Net Current Receivables RESTATED","","-524283.-524283.944","[Account].[Reporting Hierarchy]","000","D1")</f>
        <v>BS3000 - BS_Net Current Receivables RESTATED</v>
      </c>
      <c r="D73" s="203" t="str">
        <f>_xll.IdPrj.AnalyzerFuncs.AnalyzerOLAPMember("[Destination].&amp;[0]","","No Destination","","2.2.0","[Destination]","000","D2")</f>
        <v>No Destination</v>
      </c>
      <c r="E73" s="205">
        <v>12671.621999999999</v>
      </c>
      <c r="F73" s="147">
        <v>14205.465</v>
      </c>
      <c r="G73" s="147">
        <v>15651.093000000001</v>
      </c>
      <c r="H73" s="147">
        <v>14070.512000000001</v>
      </c>
      <c r="Q73" s="204">
        <v>12671.621999999999</v>
      </c>
      <c r="R73" s="204">
        <v>14205.465</v>
      </c>
      <c r="S73" s="204">
        <v>15651.093000000001</v>
      </c>
      <c r="T73" s="204">
        <v>41292.832999999999</v>
      </c>
      <c r="U73" s="204">
        <v>39610.563000000002</v>
      </c>
      <c r="V73" s="204">
        <v>37514.627999999997</v>
      </c>
      <c r="W73" s="204">
        <v>34607.074999999997</v>
      </c>
      <c r="X73" s="204">
        <v>34133.317000000003</v>
      </c>
      <c r="Y73" s="204">
        <v>34501.953999999998</v>
      </c>
      <c r="Z73" s="204">
        <v>33997.059000000001</v>
      </c>
      <c r="AA73" s="204">
        <v>31907.137999999999</v>
      </c>
      <c r="AB73" s="204">
        <v>22206.471000000001</v>
      </c>
      <c r="AC73" s="204">
        <v>22883.244999999999</v>
      </c>
      <c r="AD73" s="204">
        <v>27721.89</v>
      </c>
      <c r="AE73" s="204">
        <v>33502.476999999999</v>
      </c>
      <c r="AF73" s="204">
        <v>39382.243000000002</v>
      </c>
      <c r="AG73" s="204">
        <v>39131.292999999998</v>
      </c>
      <c r="AH73" s="204">
        <v>38099.866000000002</v>
      </c>
      <c r="AI73" s="204">
        <v>35390.197</v>
      </c>
      <c r="AJ73" s="204">
        <v>35562.156999999999</v>
      </c>
      <c r="AK73" s="204">
        <v>35778.167000000001</v>
      </c>
      <c r="AL73" s="204">
        <v>35308.161</v>
      </c>
      <c r="AM73" s="204">
        <v>33125.902000000002</v>
      </c>
      <c r="AN73" s="204">
        <v>23204.101999999999</v>
      </c>
      <c r="AO73" s="205">
        <v>-18051.016</v>
      </c>
      <c r="AP73" s="147">
        <v>20317.055</v>
      </c>
      <c r="AQ73" s="147">
        <v>24470.188999999998</v>
      </c>
      <c r="AR73" s="147">
        <v>25479.241000000002</v>
      </c>
      <c r="AS73" s="147">
        <v>22467.107</v>
      </c>
      <c r="AT73" s="147">
        <v>19799.655999999999</v>
      </c>
      <c r="AU73" s="147">
        <v>11207.299000000001</v>
      </c>
      <c r="AV73" s="147">
        <v>13753.787</v>
      </c>
      <c r="AW73" s="147">
        <v>17256.981</v>
      </c>
      <c r="AX73" s="147">
        <v>18090.127</v>
      </c>
      <c r="AY73" s="147">
        <v>14850.375</v>
      </c>
      <c r="AZ73" s="147">
        <v>12247.696</v>
      </c>
      <c r="BA73" s="204">
        <v>22491.494999999999</v>
      </c>
    </row>
    <row r="74" spans="2:53" s="147" customFormat="1" hidden="1" outlineLevel="1">
      <c r="B74" s="202" t="str">
        <f>_xll.IdPrj.AnalyzerFuncs.AnalyzerOLAPMember("[Partner].[Partner 1].&amp;[0]","","No Partner","","-524279.-524279.0","[Partner]","000","D0")</f>
        <v>No Partner</v>
      </c>
      <c r="C74" s="206" t="str">
        <f>_xll.IdPrj.AnalyzerFuncs.AnalyzerOLAPMember("[Account].[Reporting Hierarchy].&amp;[4169]","","S00010 - Overdues, clients total","","-524283.-524283.4169","[Account].[Reporting Hierarchy]","000","D1")</f>
        <v>S00010 - Overdues, clients total</v>
      </c>
      <c r="D74" s="203" t="str">
        <f>_xll.IdPrj.AnalyzerFuncs.AnalyzerOLAPMember("[Destination].&amp;[0]","","No Destination","","2.2.0","[Destination]","000","D2")</f>
        <v>No Destination</v>
      </c>
      <c r="E74" s="205">
        <v>6948.1809999999996</v>
      </c>
      <c r="F74" s="147">
        <v>5951.527</v>
      </c>
      <c r="G74" s="147">
        <v>7304.2190000000001</v>
      </c>
      <c r="H74" s="147">
        <v>7259.8770000000004</v>
      </c>
      <c r="Q74" s="204">
        <v>6948.1809999999996</v>
      </c>
      <c r="R74" s="204">
        <v>5951.527</v>
      </c>
      <c r="S74" s="204">
        <v>7304.2190000000001</v>
      </c>
      <c r="T74" s="204">
        <v>10740</v>
      </c>
      <c r="U74" s="204">
        <v>10350</v>
      </c>
      <c r="V74" s="204">
        <v>10160</v>
      </c>
      <c r="W74" s="204">
        <v>9600</v>
      </c>
      <c r="X74" s="204">
        <v>9480</v>
      </c>
      <c r="Y74" s="204">
        <v>9080</v>
      </c>
      <c r="Z74" s="204">
        <v>8840</v>
      </c>
      <c r="AA74" s="204">
        <v>8200</v>
      </c>
      <c r="AB74" s="204">
        <v>6500</v>
      </c>
      <c r="AC74" s="204">
        <v>7410</v>
      </c>
      <c r="AD74" s="204">
        <v>8300</v>
      </c>
      <c r="AE74" s="204">
        <v>9600</v>
      </c>
      <c r="AF74" s="204">
        <v>10740</v>
      </c>
      <c r="AG74" s="204">
        <v>10350</v>
      </c>
      <c r="AH74" s="204">
        <v>10160</v>
      </c>
      <c r="AI74" s="204">
        <v>9600</v>
      </c>
      <c r="AJ74" s="204">
        <v>9480</v>
      </c>
      <c r="AK74" s="204">
        <v>9080</v>
      </c>
      <c r="AL74" s="204">
        <v>8840</v>
      </c>
      <c r="AM74" s="204">
        <v>8200</v>
      </c>
      <c r="AN74" s="204">
        <v>6500</v>
      </c>
      <c r="AO74" s="205"/>
      <c r="AP74" s="147">
        <v>10046.425999999999</v>
      </c>
      <c r="AQ74" s="147">
        <v>9261.3119999999999</v>
      </c>
      <c r="AR74" s="147">
        <v>10180.875</v>
      </c>
      <c r="AS74" s="147">
        <v>11858.906000000001</v>
      </c>
      <c r="AT74" s="147">
        <v>9606.3919999999998</v>
      </c>
      <c r="AU74" s="147">
        <v>7701.058</v>
      </c>
      <c r="AV74" s="147">
        <v>7365.7510000000002</v>
      </c>
      <c r="AW74" s="147">
        <v>8739.3819999999996</v>
      </c>
      <c r="AX74" s="147">
        <v>7296.3209999999999</v>
      </c>
      <c r="AY74" s="147">
        <v>8351.7479999999996</v>
      </c>
      <c r="AZ74" s="147">
        <v>9340.9959999999992</v>
      </c>
      <c r="BA74" s="204">
        <v>8900</v>
      </c>
    </row>
    <row r="75" spans="2:53" s="147" customFormat="1" hidden="1" outlineLevel="1">
      <c r="C75" s="206" t="str">
        <f>_xll.IdPrj.AnalyzerFuncs.AnalyzerOLAPMember("[Account].[Reporting Hierarchy].&amp;[4170]","","S00011 - Overdues, clients delay &gt; 30 days","","-524283.-524283.4170","[Account].[Reporting Hierarchy]","000","D1")</f>
        <v>S00011 - Overdues, clients delay &gt; 30 days</v>
      </c>
      <c r="D75" s="203" t="str">
        <f>_xll.IdPrj.AnalyzerFuncs.AnalyzerOLAPMember("[Destination].&amp;[0]","","No Destination","","2.2.0","[Destination]","000","D2")</f>
        <v>No Destination</v>
      </c>
      <c r="E75" s="205">
        <v>3429.6419999999998</v>
      </c>
      <c r="F75" s="147">
        <v>2642.87</v>
      </c>
      <c r="G75" s="147">
        <v>2985.3029999999999</v>
      </c>
      <c r="H75" s="147">
        <v>2577.3339999999998</v>
      </c>
      <c r="Q75" s="204">
        <v>3429.6419999999998</v>
      </c>
      <c r="R75" s="204">
        <v>2642.87</v>
      </c>
      <c r="S75" s="204">
        <v>2985.3029999999999</v>
      </c>
      <c r="T75" s="204">
        <v>1520</v>
      </c>
      <c r="U75" s="204">
        <v>3280</v>
      </c>
      <c r="V75" s="204">
        <v>3300</v>
      </c>
      <c r="W75" s="204">
        <v>2780</v>
      </c>
      <c r="X75" s="204">
        <v>2700</v>
      </c>
      <c r="Y75" s="204">
        <v>2750</v>
      </c>
      <c r="Z75" s="204">
        <v>2560</v>
      </c>
      <c r="AA75" s="204">
        <v>2180</v>
      </c>
      <c r="AB75" s="204">
        <v>1810</v>
      </c>
      <c r="AC75" s="204">
        <v>2380</v>
      </c>
      <c r="AD75" s="204">
        <v>2710</v>
      </c>
      <c r="AE75" s="204">
        <v>3070</v>
      </c>
      <c r="AF75" s="204">
        <v>1520</v>
      </c>
      <c r="AG75" s="204">
        <v>3280</v>
      </c>
      <c r="AH75" s="204">
        <v>3300</v>
      </c>
      <c r="AI75" s="204">
        <v>2780</v>
      </c>
      <c r="AJ75" s="204">
        <v>2700</v>
      </c>
      <c r="AK75" s="204">
        <v>2750</v>
      </c>
      <c r="AL75" s="204">
        <v>2560</v>
      </c>
      <c r="AM75" s="204">
        <v>2180</v>
      </c>
      <c r="AN75" s="204">
        <v>1810</v>
      </c>
      <c r="AO75" s="205"/>
      <c r="AP75" s="147">
        <v>7468.3530000000001</v>
      </c>
      <c r="AQ75" s="147">
        <v>5053.51</v>
      </c>
      <c r="AR75" s="147">
        <v>4158.5379999999996</v>
      </c>
      <c r="AS75" s="147">
        <v>5246.1580000000004</v>
      </c>
      <c r="AT75" s="147">
        <v>4354.357</v>
      </c>
      <c r="AU75" s="147">
        <v>4024.88</v>
      </c>
      <c r="AV75" s="147">
        <v>2652.6179999999999</v>
      </c>
      <c r="AW75" s="147">
        <v>3798.3820000000001</v>
      </c>
      <c r="AX75" s="147">
        <v>3169.6709999999998</v>
      </c>
      <c r="AY75" s="147">
        <v>3576.8969999999999</v>
      </c>
      <c r="AZ75" s="147">
        <v>3825.5349999999999</v>
      </c>
      <c r="BA75" s="204">
        <v>3290</v>
      </c>
    </row>
    <row r="76" spans="2:53" s="147" customFormat="1" hidden="1" outlineLevel="1">
      <c r="C76" s="202" t="str">
        <f>_xll.IdPrj.AnalyzerFuncs.AnalyzerOLAPMember("[Account].[Reporting Hierarchy].&amp;[959]","","BS4000 - BS_Net Current Payables","","-524283.-524283.959","[Account].[Reporting Hierarchy]","000","D1")</f>
        <v>BS4000 - BS_Net Current Payables</v>
      </c>
      <c r="D76" s="203" t="str">
        <f>_xll.IdPrj.AnalyzerFuncs.AnalyzerOLAPMember("[Destination].&amp;[0]","","No Destination","","2.2.0","[Destination]","000","D2")</f>
        <v>No Destination</v>
      </c>
      <c r="E76" s="205">
        <v>18242.177</v>
      </c>
      <c r="F76" s="147">
        <v>24108.705000000002</v>
      </c>
      <c r="G76" s="147">
        <v>32499.37</v>
      </c>
      <c r="H76" s="147">
        <v>24223.484</v>
      </c>
      <c r="Q76" s="204">
        <v>18242.177</v>
      </c>
      <c r="R76" s="204">
        <v>24108.705000000002</v>
      </c>
      <c r="S76" s="204">
        <v>32499.37</v>
      </c>
      <c r="T76" s="204">
        <v>34865.803</v>
      </c>
      <c r="U76" s="204">
        <v>32881.955999999998</v>
      </c>
      <c r="V76" s="204">
        <v>30361.404999999999</v>
      </c>
      <c r="W76" s="204">
        <v>31295.681</v>
      </c>
      <c r="X76" s="204">
        <v>28917.366000000002</v>
      </c>
      <c r="Y76" s="204">
        <v>30627.788</v>
      </c>
      <c r="Z76" s="204">
        <v>31852.749</v>
      </c>
      <c r="AA76" s="204">
        <v>28711.188999999998</v>
      </c>
      <c r="AB76" s="204">
        <v>22494.737000000001</v>
      </c>
      <c r="AC76" s="204">
        <v>21345.685000000001</v>
      </c>
      <c r="AD76" s="204">
        <v>29450.3</v>
      </c>
      <c r="AE76" s="204">
        <v>32368.19</v>
      </c>
      <c r="AF76" s="204">
        <v>33702.002</v>
      </c>
      <c r="AG76" s="204">
        <v>32259.326000000001</v>
      </c>
      <c r="AH76" s="204">
        <v>30671.133999999998</v>
      </c>
      <c r="AI76" s="204">
        <v>31806.593000000001</v>
      </c>
      <c r="AJ76" s="204">
        <v>29461.846000000001</v>
      </c>
      <c r="AK76" s="204">
        <v>31161.491999999998</v>
      </c>
      <c r="AL76" s="204">
        <v>32475.641</v>
      </c>
      <c r="AM76" s="204">
        <v>29304.594000000001</v>
      </c>
      <c r="AN76" s="204">
        <v>22984.859</v>
      </c>
      <c r="AO76" s="205">
        <v>51.451999999999998</v>
      </c>
      <c r="AP76" s="147">
        <v>24995.394</v>
      </c>
      <c r="AQ76" s="147">
        <v>27627.433000000001</v>
      </c>
      <c r="AR76" s="147">
        <v>26148.199000000001</v>
      </c>
      <c r="AS76" s="147">
        <v>18444.345000000001</v>
      </c>
      <c r="AT76" s="147">
        <v>24725.964</v>
      </c>
      <c r="AU76" s="147">
        <v>21356.741999999998</v>
      </c>
      <c r="AV76" s="147">
        <v>19858.578000000001</v>
      </c>
      <c r="AW76" s="147">
        <v>24144.267</v>
      </c>
      <c r="AX76" s="147">
        <v>18040.101999999999</v>
      </c>
      <c r="AY76" s="147">
        <v>18264.816999999999</v>
      </c>
      <c r="AZ76" s="147">
        <v>20408.710999999999</v>
      </c>
      <c r="BA76" s="204">
        <v>21046.094000000001</v>
      </c>
    </row>
    <row r="77" spans="2:53" s="147" customFormat="1" hidden="1" outlineLevel="1">
      <c r="B77" s="147" t="str">
        <f>_xll.IdPrj.AnalyzerFuncs.AnalyzerOLAPMember("[Partner].[All detailed Partner]","","All detailed Partner","","AllIdent","[Partner]","000","D0")</f>
        <v>All detailed Partner</v>
      </c>
      <c r="C77" s="202" t="str">
        <f>_xll.IdPrj.AnalyzerFuncs.AnalyzerOLAPMember("[Account].[Reporting Hierarchy].&amp;[959]","","BS4000 - BS_Net Current Payables","","-524283.-524283.959","[Account].[Reporting Hierarchy]","000","D1")</f>
        <v>BS4000 - BS_Net Current Payables</v>
      </c>
      <c r="D77" s="203" t="str">
        <f>_xll.IdPrj.AnalyzerFuncs.AnalyzerOLAPMember("[Destination].&amp;[0]","","No Destination","","2.2.0","[Destination]","000","D2")</f>
        <v>No Destination</v>
      </c>
      <c r="E77" s="205">
        <v>18242.177</v>
      </c>
      <c r="F77" s="147">
        <v>24108.705000000002</v>
      </c>
      <c r="G77" s="147">
        <v>32499.37</v>
      </c>
      <c r="H77" s="147">
        <v>24223.484</v>
      </c>
      <c r="Q77" s="204">
        <v>18242.177</v>
      </c>
      <c r="R77" s="204">
        <v>24108.705000000002</v>
      </c>
      <c r="S77" s="204">
        <v>32499.37</v>
      </c>
      <c r="T77" s="204">
        <v>34865.803</v>
      </c>
      <c r="U77" s="204">
        <v>32881.955999999998</v>
      </c>
      <c r="V77" s="204">
        <v>30361.404999999999</v>
      </c>
      <c r="W77" s="204">
        <v>31295.681</v>
      </c>
      <c r="X77" s="204">
        <v>28917.366000000002</v>
      </c>
      <c r="Y77" s="204">
        <v>30627.788</v>
      </c>
      <c r="Z77" s="204">
        <v>31852.749</v>
      </c>
      <c r="AA77" s="204">
        <v>28711.188999999998</v>
      </c>
      <c r="AB77" s="204">
        <v>22494.737000000001</v>
      </c>
      <c r="AC77" s="204">
        <v>21345.685000000001</v>
      </c>
      <c r="AD77" s="204">
        <v>29450.3</v>
      </c>
      <c r="AE77" s="204">
        <v>32368.19</v>
      </c>
      <c r="AF77" s="204">
        <v>33702.002</v>
      </c>
      <c r="AG77" s="204">
        <v>32259.326000000001</v>
      </c>
      <c r="AH77" s="204">
        <v>30671.133999999998</v>
      </c>
      <c r="AI77" s="204">
        <v>31806.593000000001</v>
      </c>
      <c r="AJ77" s="204">
        <v>29461.846000000001</v>
      </c>
      <c r="AK77" s="204">
        <v>31161.491999999998</v>
      </c>
      <c r="AL77" s="204">
        <v>32475.641</v>
      </c>
      <c r="AM77" s="204">
        <v>29304.594000000001</v>
      </c>
      <c r="AN77" s="204">
        <v>22984.859</v>
      </c>
      <c r="AO77" s="205">
        <v>51.451999999999998</v>
      </c>
      <c r="AP77" s="147">
        <v>24995.394</v>
      </c>
      <c r="AQ77" s="147">
        <v>27627.433000000001</v>
      </c>
      <c r="AR77" s="147">
        <v>26148.199000000001</v>
      </c>
      <c r="AS77" s="147">
        <v>18444.345000000001</v>
      </c>
      <c r="AT77" s="147">
        <v>24725.964</v>
      </c>
      <c r="AU77" s="147">
        <v>21356.741999999998</v>
      </c>
      <c r="AV77" s="147">
        <v>19858.578000000001</v>
      </c>
      <c r="AW77" s="147">
        <v>24144.267</v>
      </c>
      <c r="AX77" s="147">
        <v>18040.101999999999</v>
      </c>
      <c r="AY77" s="147">
        <v>18264.816999999999</v>
      </c>
      <c r="AZ77" s="147">
        <v>20408.710999999999</v>
      </c>
      <c r="BA77" s="204">
        <v>21046.094000000001</v>
      </c>
    </row>
    <row r="78" spans="2:53" s="147" customFormat="1" hidden="1" outlineLevel="1">
      <c r="B78" s="202" t="str">
        <f>_xll.IdPrj.AnalyzerFuncs.AnalyzerOLAPMember("[Partner].[Partner 1].&amp;[4]","","S9999 - Third Parties","","-524279.-524279.4","[Partner]","000","D0")</f>
        <v>S9999 - Third Parties</v>
      </c>
      <c r="C78" s="202" t="str">
        <f>_xll.IdPrj.AnalyzerFuncs.AnalyzerOLAPMember("[Account].[Reporting Hierarchy].&amp;[959]","","BS4000 - BS_Net Current Payables","","-524283.-524283.959","[Account].[Reporting Hierarchy]","000","D1")</f>
        <v>BS4000 - BS_Net Current Payables</v>
      </c>
      <c r="D78" s="203" t="str">
        <f>_xll.IdPrj.AnalyzerFuncs.AnalyzerOLAPMember("[Destination].&amp;[0]","","No Destination","","2.2.0","[Destination]","000","D2")</f>
        <v>No Destination</v>
      </c>
      <c r="E78" s="205">
        <v>15733.727999999999</v>
      </c>
      <c r="F78" s="147">
        <v>20485.538</v>
      </c>
      <c r="G78" s="147">
        <v>28393.948</v>
      </c>
      <c r="H78" s="147">
        <v>20962.407999999999</v>
      </c>
      <c r="Q78" s="204">
        <v>15733.727999999999</v>
      </c>
      <c r="R78" s="204">
        <v>20485.538</v>
      </c>
      <c r="S78" s="204">
        <v>28393.948</v>
      </c>
      <c r="T78" s="204">
        <v>31077.983</v>
      </c>
      <c r="U78" s="204">
        <v>29402.458999999999</v>
      </c>
      <c r="V78" s="204">
        <v>27306.563999999998</v>
      </c>
      <c r="W78" s="204">
        <v>28134.65</v>
      </c>
      <c r="X78" s="204">
        <v>25984.87</v>
      </c>
      <c r="Y78" s="204">
        <v>27438.463</v>
      </c>
      <c r="Z78" s="204">
        <v>28302.584999999999</v>
      </c>
      <c r="AA78" s="204">
        <v>25418.03</v>
      </c>
      <c r="AB78" s="204">
        <v>19049.202000000001</v>
      </c>
      <c r="AC78" s="204">
        <v>18950.685000000001</v>
      </c>
      <c r="AD78" s="204">
        <v>25769</v>
      </c>
      <c r="AE78" s="204">
        <v>28660.582999999999</v>
      </c>
      <c r="AF78" s="204">
        <v>29749.057000000001</v>
      </c>
      <c r="AG78" s="204">
        <v>28632.355</v>
      </c>
      <c r="AH78" s="204">
        <v>27516.724999999999</v>
      </c>
      <c r="AI78" s="204">
        <v>28535.999</v>
      </c>
      <c r="AJ78" s="204">
        <v>26417.465</v>
      </c>
      <c r="AK78" s="204">
        <v>27873.66</v>
      </c>
      <c r="AL78" s="204">
        <v>28840.331999999999</v>
      </c>
      <c r="AM78" s="204">
        <v>25908.121999999999</v>
      </c>
      <c r="AN78" s="204">
        <v>19436.307000000001</v>
      </c>
      <c r="AO78" s="205">
        <v>51.451999999999998</v>
      </c>
      <c r="AP78" s="147">
        <v>21315.364000000001</v>
      </c>
      <c r="AQ78" s="147">
        <v>23515.3</v>
      </c>
      <c r="AR78" s="147">
        <v>22739.992999999999</v>
      </c>
      <c r="AS78" s="147">
        <v>15069.116</v>
      </c>
      <c r="AT78" s="147">
        <v>21550.400000000001</v>
      </c>
      <c r="AU78" s="147">
        <v>18154.958999999999</v>
      </c>
      <c r="AV78" s="147">
        <v>16765.317999999999</v>
      </c>
      <c r="AW78" s="147">
        <v>21554.535</v>
      </c>
      <c r="AX78" s="147">
        <v>16777.499</v>
      </c>
      <c r="AY78" s="147">
        <v>16818.494999999999</v>
      </c>
      <c r="AZ78" s="147">
        <v>18550.519</v>
      </c>
      <c r="BA78" s="204">
        <v>19636.094000000001</v>
      </c>
    </row>
    <row r="79" spans="2:53" s="147" customFormat="1" hidden="1" outlineLevel="1">
      <c r="B79" s="202" t="str">
        <f>_xll.IdPrj.AnalyzerFuncs.AnalyzerOLAPMember("[Partner].[Partner 1].&amp;[0]","","No Partner","","-524279.-524279.0","[Partner]","000","D0")</f>
        <v>No Partner</v>
      </c>
      <c r="C79" s="202" t="str">
        <f>_xll.IdPrj.AnalyzerFuncs.AnalyzerOLAPMember("[Account].[Reporting Hierarchy].&amp;[968]","","BS5000 - BS_Other Receivables RESTATED","","-524283.-524283.968","[Account].[Reporting Hierarchy]","000","D1")</f>
        <v>BS5000 - BS_Other Receivables RESTATED</v>
      </c>
      <c r="D79" s="203" t="str">
        <f>_xll.IdPrj.AnalyzerFuncs.AnalyzerOLAPMember("[Destination].&amp;[0]","","No Destination","","2.2.0","[Destination]","000","D2")</f>
        <v>No Destination</v>
      </c>
      <c r="E79" s="205">
        <v>7293.3580000000002</v>
      </c>
      <c r="F79" s="147">
        <v>7568.3069999999998</v>
      </c>
      <c r="G79" s="147">
        <v>7711.4</v>
      </c>
      <c r="H79" s="147">
        <v>3439.3139999999999</v>
      </c>
      <c r="Q79" s="204">
        <v>7293.3580000000002</v>
      </c>
      <c r="R79" s="204">
        <v>7568.3069999999998</v>
      </c>
      <c r="S79" s="204">
        <v>7711.4</v>
      </c>
      <c r="T79" s="204">
        <v>2196.625</v>
      </c>
      <c r="U79" s="204">
        <v>2104.3049999999998</v>
      </c>
      <c r="V79" s="204">
        <v>2050.9850000000001</v>
      </c>
      <c r="W79" s="204">
        <v>2094.4160000000002</v>
      </c>
      <c r="X79" s="204">
        <v>2000.096</v>
      </c>
      <c r="Y79" s="204">
        <v>2024.7760000000001</v>
      </c>
      <c r="Z79" s="204">
        <v>2086.1010000000001</v>
      </c>
      <c r="AA79" s="204">
        <v>2000.7809999999999</v>
      </c>
      <c r="AB79" s="204">
        <v>1577.461</v>
      </c>
      <c r="AC79" s="204">
        <v>5093.5950000000003</v>
      </c>
      <c r="AD79" s="204">
        <v>5313.558</v>
      </c>
      <c r="AE79" s="204">
        <v>5380.6210000000001</v>
      </c>
      <c r="AF79" s="204">
        <v>1474.1130000000001</v>
      </c>
      <c r="AG79" s="204">
        <v>1452.1759999999999</v>
      </c>
      <c r="AH79" s="204">
        <v>1494.1389999999999</v>
      </c>
      <c r="AI79" s="204">
        <v>1502.99</v>
      </c>
      <c r="AJ79" s="204">
        <v>1464.19</v>
      </c>
      <c r="AK79" s="204">
        <v>1444.29</v>
      </c>
      <c r="AL79" s="204">
        <v>1436.0350000000001</v>
      </c>
      <c r="AM79" s="204">
        <v>1451.2349999999999</v>
      </c>
      <c r="AN79" s="204">
        <v>1213.335</v>
      </c>
      <c r="AO79" s="205">
        <v>325.52100000000002</v>
      </c>
      <c r="AP79" s="147">
        <v>6974.2219999999998</v>
      </c>
      <c r="AQ79" s="147">
        <v>8020.1710000000003</v>
      </c>
      <c r="AR79" s="147">
        <v>4347.317</v>
      </c>
      <c r="AS79" s="147">
        <v>3955.9380000000001</v>
      </c>
      <c r="AT79" s="147">
        <v>5141.8890000000001</v>
      </c>
      <c r="AU79" s="147">
        <v>4898.1559999999999</v>
      </c>
      <c r="AV79" s="147">
        <v>4362.2640000000001</v>
      </c>
      <c r="AW79" s="147">
        <v>6027.665</v>
      </c>
      <c r="AX79" s="147">
        <v>5662.2030000000004</v>
      </c>
      <c r="AY79" s="147">
        <v>6017.5889999999999</v>
      </c>
      <c r="AZ79" s="147">
        <v>7258.7219999999998</v>
      </c>
      <c r="BA79" s="204">
        <v>6945.0219999999999</v>
      </c>
    </row>
    <row r="80" spans="2:53" s="147" customFormat="1" hidden="1" outlineLevel="1">
      <c r="B80" s="147" t="str">
        <f>_xll.IdPrj.AnalyzerFuncs.AnalyzerOLAPMember("[Partner].[All detailed Partner]","","All detailed Partner","","AllIdent","[Partner]","000","D0")</f>
        <v>All detailed Partner</v>
      </c>
      <c r="C80" s="202" t="str">
        <f>_xll.IdPrj.AnalyzerFuncs.AnalyzerOLAPMember("[Account].[Reporting Hierarchy].&amp;[968]","","BS5000 - BS_Other Receivables RESTATED","","-524283.-524283.968","[Account].[Reporting Hierarchy]","000","D1")</f>
        <v>BS5000 - BS_Other Receivables RESTATED</v>
      </c>
      <c r="D80" s="203" t="str">
        <f>_xll.IdPrj.AnalyzerFuncs.AnalyzerOLAPMember("[Destination].&amp;[0]","","No Destination","","2.2.0","[Destination]","000","D2")</f>
        <v>No Destination</v>
      </c>
      <c r="E80" s="205">
        <v>4408.3850000000002</v>
      </c>
      <c r="F80" s="147">
        <v>4403.21</v>
      </c>
      <c r="G80" s="147">
        <v>4121.0039999999999</v>
      </c>
      <c r="H80" s="147">
        <v>174.78399999999999</v>
      </c>
      <c r="Q80" s="204">
        <v>4408.3850000000002</v>
      </c>
      <c r="R80" s="204">
        <v>4403.21</v>
      </c>
      <c r="S80" s="204">
        <v>4121.0039999999999</v>
      </c>
      <c r="T80" s="204">
        <v>164.625</v>
      </c>
      <c r="U80" s="204">
        <v>164.30500000000001</v>
      </c>
      <c r="V80" s="204">
        <v>163.98500000000001</v>
      </c>
      <c r="W80" s="204">
        <v>155.416</v>
      </c>
      <c r="X80" s="204">
        <v>155.096</v>
      </c>
      <c r="Y80" s="204">
        <v>154.77600000000001</v>
      </c>
      <c r="Z80" s="204">
        <v>146.101</v>
      </c>
      <c r="AA80" s="204">
        <v>145.78100000000001</v>
      </c>
      <c r="AB80" s="204">
        <v>145.46100000000001</v>
      </c>
      <c r="AC80" s="204">
        <v>4611.5950000000003</v>
      </c>
      <c r="AD80" s="204">
        <v>4611.558</v>
      </c>
      <c r="AE80" s="204">
        <v>4611.6210000000001</v>
      </c>
      <c r="AF80" s="204">
        <v>732.11300000000006</v>
      </c>
      <c r="AG80" s="204">
        <v>732.17600000000004</v>
      </c>
      <c r="AH80" s="204">
        <v>732.13900000000001</v>
      </c>
      <c r="AI80" s="204">
        <v>723.99</v>
      </c>
      <c r="AJ80" s="204">
        <v>724.19</v>
      </c>
      <c r="AK80" s="204">
        <v>724.29</v>
      </c>
      <c r="AL80" s="204">
        <v>716.03499999999997</v>
      </c>
      <c r="AM80" s="204">
        <v>716.23500000000001</v>
      </c>
      <c r="AN80" s="204">
        <v>716.33500000000004</v>
      </c>
      <c r="AO80" s="205">
        <v>193.066</v>
      </c>
      <c r="AP80" s="147">
        <v>3158.2260000000001</v>
      </c>
      <c r="AQ80" s="147">
        <v>4442.0680000000002</v>
      </c>
      <c r="AR80" s="147">
        <v>1082.21</v>
      </c>
      <c r="AS80" s="147">
        <v>1148.7329999999999</v>
      </c>
      <c r="AT80" s="147">
        <v>2170.3780000000002</v>
      </c>
      <c r="AU80" s="147">
        <v>2172.7269999999999</v>
      </c>
      <c r="AV80" s="147">
        <v>1908.797</v>
      </c>
      <c r="AW80" s="147">
        <v>3013.7460000000001</v>
      </c>
      <c r="AX80" s="147">
        <v>3013.1320000000001</v>
      </c>
      <c r="AY80" s="147">
        <v>3307.55</v>
      </c>
      <c r="AZ80" s="147">
        <v>4469.2479999999996</v>
      </c>
      <c r="BA80" s="204">
        <v>4620.0720000000001</v>
      </c>
    </row>
    <row r="81" spans="2:53" s="147" customFormat="1" hidden="1" outlineLevel="1">
      <c r="B81" s="202" t="str">
        <f>_xll.IdPrj.AnalyzerFuncs.AnalyzerOLAPMember("[Partner].[Partner 1].&amp;[4]","","S9999 - Third Parties","","-524279.-524279.4","[Partner]","000","D0")</f>
        <v>S9999 - Third Parties</v>
      </c>
      <c r="C81" s="202" t="str">
        <f>_xll.IdPrj.AnalyzerFuncs.AnalyzerOLAPMember("[Account].[Reporting Hierarchy].&amp;[968]","","BS5000 - BS_Other Receivables RESTATED","","-524283.-524283.968","[Account].[Reporting Hierarchy]","000","D1")</f>
        <v>BS5000 - BS_Other Receivables RESTATED</v>
      </c>
      <c r="D81" s="203" t="str">
        <f>_xll.IdPrj.AnalyzerFuncs.AnalyzerOLAPMember("[Destination].&amp;[0]","","No Destination","","2.2.0","[Destination]","000","D2")</f>
        <v>No Destination</v>
      </c>
      <c r="E81" s="205">
        <v>176.33699999999999</v>
      </c>
      <c r="F81" s="147">
        <v>123.33499999999999</v>
      </c>
      <c r="G81" s="147">
        <v>211.35300000000001</v>
      </c>
      <c r="H81" s="147">
        <v>174.78399999999999</v>
      </c>
      <c r="Q81" s="204">
        <v>176.33699999999999</v>
      </c>
      <c r="R81" s="204">
        <v>123.33499999999999</v>
      </c>
      <c r="S81" s="204">
        <v>211.35300000000001</v>
      </c>
      <c r="T81" s="204">
        <v>164.625</v>
      </c>
      <c r="U81" s="204">
        <v>164.30500000000001</v>
      </c>
      <c r="V81" s="204">
        <v>163.98500000000001</v>
      </c>
      <c r="W81" s="204">
        <v>155.416</v>
      </c>
      <c r="X81" s="204">
        <v>155.096</v>
      </c>
      <c r="Y81" s="204">
        <v>154.77600000000001</v>
      </c>
      <c r="Z81" s="204">
        <v>146.101</v>
      </c>
      <c r="AA81" s="204">
        <v>145.78100000000001</v>
      </c>
      <c r="AB81" s="204">
        <v>145.46100000000001</v>
      </c>
      <c r="AC81" s="204">
        <v>740.26800000000003</v>
      </c>
      <c r="AD81" s="204">
        <v>740.23099999999999</v>
      </c>
      <c r="AE81" s="204">
        <v>740.29399999999998</v>
      </c>
      <c r="AF81" s="204">
        <v>732.11300000000006</v>
      </c>
      <c r="AG81" s="204">
        <v>732.17600000000004</v>
      </c>
      <c r="AH81" s="204">
        <v>732.13900000000001</v>
      </c>
      <c r="AI81" s="204">
        <v>723.99</v>
      </c>
      <c r="AJ81" s="204">
        <v>724.19</v>
      </c>
      <c r="AK81" s="204">
        <v>724.29</v>
      </c>
      <c r="AL81" s="204">
        <v>716.03499999999997</v>
      </c>
      <c r="AM81" s="204">
        <v>716.23500000000001</v>
      </c>
      <c r="AN81" s="204">
        <v>716.33500000000004</v>
      </c>
      <c r="AO81" s="205">
        <v>193.066</v>
      </c>
      <c r="AP81" s="147">
        <v>168.512</v>
      </c>
      <c r="AQ81" s="147">
        <v>189.30199999999999</v>
      </c>
      <c r="AR81" s="147">
        <v>162.774</v>
      </c>
      <c r="AS81" s="147">
        <v>160.14699999999999</v>
      </c>
      <c r="AT81" s="147">
        <v>166.87700000000001</v>
      </c>
      <c r="AU81" s="147">
        <v>192.679</v>
      </c>
      <c r="AV81" s="147">
        <v>184.691</v>
      </c>
      <c r="AW81" s="147">
        <v>218.97</v>
      </c>
      <c r="AX81" s="147">
        <v>237.71899999999999</v>
      </c>
      <c r="AY81" s="147">
        <v>193.37799999999999</v>
      </c>
      <c r="AZ81" s="147">
        <v>189.37299999999999</v>
      </c>
      <c r="BA81" s="204">
        <v>748.745</v>
      </c>
    </row>
    <row r="82" spans="2:53" s="147" customFormat="1" hidden="1" outlineLevel="1">
      <c r="B82" s="202" t="str">
        <f>_xll.IdPrj.AnalyzerFuncs.AnalyzerOLAPMember("[Partner].[Partner 1].&amp;[0]","","No Partner","","-524279.-524279.0","[Partner]","000","D0")</f>
        <v>No Partner</v>
      </c>
      <c r="C82" s="202" t="str">
        <f>_xll.IdPrj.AnalyzerFuncs.AnalyzerOLAPMember("[Account].[Reporting Hierarchy].&amp;[999]","","BS6000 - BS_Other Payables RESTATED","","-524283.-524283.999","[Account].[Reporting Hierarchy]","000","D1")</f>
        <v>BS6000 - BS_Other Payables RESTATED</v>
      </c>
      <c r="D82" s="203" t="str">
        <f>_xll.IdPrj.AnalyzerFuncs.AnalyzerOLAPMember("[Destination].&amp;[0]","","No Destination","","2.2.0","[Destination]","000","D2")</f>
        <v>No Destination</v>
      </c>
      <c r="E82" s="205">
        <v>19357.374</v>
      </c>
      <c r="F82" s="147">
        <v>20744.812999999998</v>
      </c>
      <c r="G82" s="147">
        <v>22401.272000000001</v>
      </c>
      <c r="H82" s="147">
        <v>20093.988000000001</v>
      </c>
      <c r="Q82" s="204">
        <v>19357.374</v>
      </c>
      <c r="R82" s="204">
        <v>20744.812999999998</v>
      </c>
      <c r="S82" s="204">
        <v>22401.272000000001</v>
      </c>
      <c r="T82" s="204">
        <v>18232.924999999999</v>
      </c>
      <c r="U82" s="204">
        <v>18676.924999999999</v>
      </c>
      <c r="V82" s="204">
        <v>19676.924999999999</v>
      </c>
      <c r="W82" s="204">
        <v>19264.924999999999</v>
      </c>
      <c r="X82" s="204">
        <v>18746.924999999999</v>
      </c>
      <c r="Y82" s="204">
        <v>19350.924999999999</v>
      </c>
      <c r="Z82" s="204">
        <v>19777.924999999999</v>
      </c>
      <c r="AA82" s="204">
        <v>19791.924999999999</v>
      </c>
      <c r="AB82" s="204">
        <v>17736.924999999999</v>
      </c>
      <c r="AC82" s="204">
        <v>18703.059000000001</v>
      </c>
      <c r="AD82" s="204">
        <v>19554.059000000001</v>
      </c>
      <c r="AE82" s="204">
        <v>20609.059000000001</v>
      </c>
      <c r="AF82" s="204">
        <v>18685.454000000002</v>
      </c>
      <c r="AG82" s="204">
        <v>18936.454000000002</v>
      </c>
      <c r="AH82" s="204">
        <v>20058.454000000002</v>
      </c>
      <c r="AI82" s="204">
        <v>19734.454000000002</v>
      </c>
      <c r="AJ82" s="204">
        <v>19031.454000000002</v>
      </c>
      <c r="AK82" s="204">
        <v>19849.454000000002</v>
      </c>
      <c r="AL82" s="204">
        <v>20160.454000000002</v>
      </c>
      <c r="AM82" s="204">
        <v>20014.454000000002</v>
      </c>
      <c r="AN82" s="204">
        <v>17725.454000000002</v>
      </c>
      <c r="AO82" s="205">
        <v>8378.61</v>
      </c>
      <c r="AP82" s="147">
        <v>24873.002</v>
      </c>
      <c r="AQ82" s="147">
        <v>26328.598999999998</v>
      </c>
      <c r="AR82" s="147">
        <v>23367.953000000001</v>
      </c>
      <c r="AS82" s="147">
        <v>23206.653999999999</v>
      </c>
      <c r="AT82" s="147">
        <v>23015.802</v>
      </c>
      <c r="AU82" s="147">
        <v>20958.878000000001</v>
      </c>
      <c r="AV82" s="147">
        <v>21935.665000000001</v>
      </c>
      <c r="AW82" s="147">
        <v>23179.073</v>
      </c>
      <c r="AX82" s="147">
        <v>22158.037</v>
      </c>
      <c r="AY82" s="147">
        <v>23464.921999999999</v>
      </c>
      <c r="AZ82" s="147">
        <v>21677.964</v>
      </c>
      <c r="BA82" s="204">
        <v>21453.723999999998</v>
      </c>
    </row>
    <row r="83" spans="2:53" s="147" customFormat="1" hidden="1" outlineLevel="1">
      <c r="B83" s="147" t="str">
        <f>_xll.IdPrj.AnalyzerFuncs.AnalyzerOLAPMember("[Partner].[All detailed Partner]","","All detailed Partner","","AllIdent","[Partner]","000","D0")</f>
        <v>All detailed Partner</v>
      </c>
      <c r="C83" s="202" t="str">
        <f>_xll.IdPrj.AnalyzerFuncs.AnalyzerOLAPMember("[Account].[Reporting Hierarchy].&amp;[999]","","BS6000 - BS_Other Payables RESTATED","","-524283.-524283.999","[Account].[Reporting Hierarchy]","000","D1")</f>
        <v>BS6000 - BS_Other Payables RESTATED</v>
      </c>
      <c r="D83" s="203" t="str">
        <f>_xll.IdPrj.AnalyzerFuncs.AnalyzerOLAPMember("[Destination].&amp;[0]","","No Destination","","2.2.0","[Destination]","000","D2")</f>
        <v>No Destination</v>
      </c>
      <c r="E83" s="205">
        <v>121.26600000000001</v>
      </c>
      <c r="F83" s="147">
        <v>56.749000000000002</v>
      </c>
      <c r="G83" s="147">
        <v>77.977000000000004</v>
      </c>
      <c r="H83" s="147">
        <v>715.06200000000001</v>
      </c>
      <c r="Q83" s="204">
        <v>121.26600000000001</v>
      </c>
      <c r="R83" s="204">
        <v>56.749000000000002</v>
      </c>
      <c r="S83" s="204">
        <v>77.976999999996281</v>
      </c>
      <c r="T83" s="204">
        <v>417.36700000000002</v>
      </c>
      <c r="U83" s="204">
        <v>417.36700000000002</v>
      </c>
      <c r="V83" s="204">
        <v>407.36700000000002</v>
      </c>
      <c r="W83" s="204">
        <v>707.36699999999996</v>
      </c>
      <c r="X83" s="204">
        <v>807.36699999999996</v>
      </c>
      <c r="Y83" s="204">
        <v>987.36699999999996</v>
      </c>
      <c r="Z83" s="204">
        <v>1007.367</v>
      </c>
      <c r="AA83" s="204">
        <v>707.36699999999996</v>
      </c>
      <c r="AB83" s="204">
        <v>247.36699999999999</v>
      </c>
      <c r="AC83" s="204">
        <v>7.3680000000000003</v>
      </c>
      <c r="AD83" s="204">
        <v>7.3680000000000003</v>
      </c>
      <c r="AE83" s="204">
        <v>37.368000000000002</v>
      </c>
      <c r="AF83" s="204">
        <v>417.36799999999999</v>
      </c>
      <c r="AG83" s="204">
        <v>417.36799999999999</v>
      </c>
      <c r="AH83" s="204">
        <v>407.36799999999999</v>
      </c>
      <c r="AI83" s="204">
        <v>707.36800000000005</v>
      </c>
      <c r="AJ83" s="204">
        <v>807.36800000000005</v>
      </c>
      <c r="AK83" s="204">
        <v>987.36800000000005</v>
      </c>
      <c r="AL83" s="204">
        <v>1007.3680000000001</v>
      </c>
      <c r="AM83" s="204">
        <v>707.36800000000005</v>
      </c>
      <c r="AN83" s="204">
        <v>247.36799999999999</v>
      </c>
      <c r="AO83" s="205">
        <v>5.8920000000000003</v>
      </c>
      <c r="AP83" s="147">
        <v>1094.7270000000001</v>
      </c>
      <c r="AQ83" s="147">
        <v>1012.499</v>
      </c>
      <c r="AR83" s="147">
        <v>966.76</v>
      </c>
      <c r="AS83" s="147">
        <v>687.74300000000005</v>
      </c>
      <c r="AT83" s="147">
        <v>633.78800000000001</v>
      </c>
      <c r="AU83" s="147">
        <v>415.89699999999999</v>
      </c>
      <c r="AV83" s="147">
        <v>377.16699999999997</v>
      </c>
      <c r="AW83" s="147">
        <v>568.46100000000376</v>
      </c>
      <c r="AX83" s="147">
        <v>397.38600000000002</v>
      </c>
      <c r="AY83" s="147">
        <v>443.637</v>
      </c>
      <c r="AZ83" s="147">
        <v>289.72399999999629</v>
      </c>
      <c r="BA83" s="204">
        <v>147.36699999999999</v>
      </c>
    </row>
    <row r="84" spans="2:53" s="147" customFormat="1" hidden="1" outlineLevel="1">
      <c r="B84" s="202" t="str">
        <f>_xll.IdPrj.AnalyzerFuncs.AnalyzerOLAPMember("[Partner].[Partner 1].&amp;[4]","","S9999 - Third Parties","","-524279.-524279.4","[Partner]","000","D0")</f>
        <v>S9999 - Third Parties</v>
      </c>
      <c r="C84" s="202" t="str">
        <f>_xll.IdPrj.AnalyzerFuncs.AnalyzerOLAPMember("[Account].[Reporting Hierarchy].&amp;[999]","","BS6000 - BS_Other Payables RESTATED","","-524283.-524283.999","[Account].[Reporting Hierarchy]","000","D1")</f>
        <v>BS6000 - BS_Other Payables RESTATED</v>
      </c>
      <c r="D84" s="203" t="str">
        <f>_xll.IdPrj.AnalyzerFuncs.AnalyzerOLAPMember("[Destination].&amp;[0]","","No Destination","","2.2.0","[Destination]","000","D2")</f>
        <v>No Destination</v>
      </c>
      <c r="E84" s="205">
        <v>123.95888288626753</v>
      </c>
      <c r="F84" s="147">
        <v>57.635945270798757</v>
      </c>
      <c r="G84" s="147">
        <v>77.994021023305891</v>
      </c>
      <c r="H84" s="147">
        <v>121.15603627560083</v>
      </c>
      <c r="Q84" s="204">
        <v>123.95888288626753</v>
      </c>
      <c r="R84" s="204">
        <v>57.635945270798757</v>
      </c>
      <c r="S84" s="204">
        <v>77.994021023305905</v>
      </c>
      <c r="T84" s="204">
        <v>7.3645168759724591</v>
      </c>
      <c r="U84" s="204">
        <v>7.3651389098255153</v>
      </c>
      <c r="V84" s="204">
        <v>7.3650834282217241</v>
      </c>
      <c r="W84" s="204">
        <v>7.3660077583548613</v>
      </c>
      <c r="X84" s="204">
        <v>7.365374077383569</v>
      </c>
      <c r="Y84" s="204">
        <v>7.3646531460902755</v>
      </c>
      <c r="Z84" s="204">
        <v>7.3644995029715563</v>
      </c>
      <c r="AA84" s="204">
        <v>7.3659813561401597</v>
      </c>
      <c r="AB84" s="204">
        <v>7.3653344303920845</v>
      </c>
      <c r="AC84" s="204">
        <v>7.3670000000000524</v>
      </c>
      <c r="AD84" s="204">
        <v>7.3666528767301553</v>
      </c>
      <c r="AE84" s="204">
        <v>7.3674190819433152</v>
      </c>
      <c r="AF84" s="204">
        <v>7.3671985603075099</v>
      </c>
      <c r="AG84" s="204">
        <v>7.3665830099600482</v>
      </c>
      <c r="AH84" s="204">
        <v>7.3672608450798522</v>
      </c>
      <c r="AI84" s="204">
        <v>7.3672655694290929</v>
      </c>
      <c r="AJ84" s="204">
        <v>7.3671406240197594</v>
      </c>
      <c r="AK84" s="204">
        <v>7.3665337742311952</v>
      </c>
      <c r="AL84" s="204">
        <v>7.3672905419256747</v>
      </c>
      <c r="AM84" s="204">
        <v>7.3666616932527083</v>
      </c>
      <c r="AN84" s="204">
        <v>7.3673142311134505</v>
      </c>
      <c r="AO84" s="205">
        <v>5.8940000000000294</v>
      </c>
      <c r="AP84" s="147">
        <v>1047.329899032407</v>
      </c>
      <c r="AQ84" s="147">
        <v>1032.5515336026326</v>
      </c>
      <c r="AR84" s="147">
        <v>967.39700711668672</v>
      </c>
      <c r="AS84" s="147">
        <v>641.40162297756251</v>
      </c>
      <c r="AT84" s="147">
        <v>643.30529089535082</v>
      </c>
      <c r="AU84" s="147">
        <v>435.48463952856423</v>
      </c>
      <c r="AV84" s="147">
        <v>369.66672393289775</v>
      </c>
      <c r="AW84" s="147">
        <v>568.92841852350671</v>
      </c>
      <c r="AX84" s="147">
        <v>418.44425859670844</v>
      </c>
      <c r="AY84" s="147">
        <v>463.53077263683963</v>
      </c>
      <c r="AZ84" s="147">
        <v>290.66086125605568</v>
      </c>
      <c r="BA84" s="204">
        <v>147.36708170341322</v>
      </c>
    </row>
    <row r="85" spans="2:53" s="147" customFormat="1" hidden="1" outlineLevel="1">
      <c r="B85" s="202" t="str">
        <f>_xll.IdPrj.AnalyzerFuncs.AnalyzerOLAPMember("[Partner].[Partner 1].&amp;[0]","","No Partner","","-524279.-524279.0","[Partner]","000","D0")</f>
        <v>No Partner</v>
      </c>
      <c r="C85" s="206" t="str">
        <f>_xll.IdPrj.AnalyzerFuncs.AnalyzerOLAPMember("[Account].[Reporting Hierarchy].&amp;[941]","","BS2050 - BS_Prov. Inventory","","-524283.-524283.941","[Account].[Reporting Hierarchy]","000","D1")</f>
        <v>BS2050 - BS_Prov. Inventory</v>
      </c>
      <c r="D85" s="203" t="str">
        <f>_xll.IdPrj.AnalyzerFuncs.AnalyzerOLAPMember("[Destination].&amp;[0]","","No Destination","","2.2.0","[Destination]","000","D2")</f>
        <v>No Destination</v>
      </c>
      <c r="E85" s="205">
        <v>-4314.2830000000004</v>
      </c>
      <c r="F85" s="147">
        <v>-4195.1760000000004</v>
      </c>
      <c r="G85" s="147">
        <v>-3966.8870000000002</v>
      </c>
      <c r="H85" s="147">
        <v>-3916.68</v>
      </c>
      <c r="Q85" s="204">
        <v>-4314.2830000000004</v>
      </c>
      <c r="R85" s="204">
        <v>-4195.1760000000004</v>
      </c>
      <c r="S85" s="204">
        <v>-3966.8870000000002</v>
      </c>
      <c r="T85" s="204">
        <v>-4000.2269999999999</v>
      </c>
      <c r="U85" s="204">
        <v>-4033.567</v>
      </c>
      <c r="V85" s="204">
        <v>-4066.9070000000002</v>
      </c>
      <c r="W85" s="204">
        <v>-4083.587</v>
      </c>
      <c r="X85" s="204">
        <v>-4100.2669999999998</v>
      </c>
      <c r="Y85" s="204">
        <v>-4116.9470000000001</v>
      </c>
      <c r="Z85" s="204">
        <v>-4133.6270000000004</v>
      </c>
      <c r="AA85" s="204">
        <v>-4150.3069999999998</v>
      </c>
      <c r="AB85" s="204">
        <v>-4166.9870000000001</v>
      </c>
      <c r="AC85" s="204">
        <v>-4808.2380000000003</v>
      </c>
      <c r="AD85" s="204">
        <v>-4844.5780000000004</v>
      </c>
      <c r="AE85" s="204">
        <v>-4880.9179999999997</v>
      </c>
      <c r="AF85" s="204">
        <v>-4917.2579999999998</v>
      </c>
      <c r="AG85" s="204">
        <v>-4953.598</v>
      </c>
      <c r="AH85" s="204">
        <v>-4989.9380000000001</v>
      </c>
      <c r="AI85" s="204">
        <v>-4745.701</v>
      </c>
      <c r="AJ85" s="204">
        <v>-4762.3810000000003</v>
      </c>
      <c r="AK85" s="204">
        <v>-4779.0609999999997</v>
      </c>
      <c r="AL85" s="204">
        <v>-4795.741</v>
      </c>
      <c r="AM85" s="204">
        <v>-4812.4210000000003</v>
      </c>
      <c r="AN85" s="204">
        <v>-4829.1009999999997</v>
      </c>
      <c r="AO85" s="205"/>
      <c r="AP85" s="147">
        <v>-4224.4369999999999</v>
      </c>
      <c r="AQ85" s="147">
        <v>-4320.41</v>
      </c>
      <c r="AR85" s="147">
        <v>-4385.3630000000003</v>
      </c>
      <c r="AS85" s="147">
        <v>-4575.82</v>
      </c>
      <c r="AT85" s="147">
        <v>-4625.915</v>
      </c>
      <c r="AU85" s="147">
        <v>-4970.6909999999998</v>
      </c>
      <c r="AV85" s="147">
        <v>-4958.7579999999998</v>
      </c>
      <c r="AW85" s="147">
        <v>-4994.9070000000002</v>
      </c>
      <c r="AX85" s="147">
        <v>-4920.4549999999999</v>
      </c>
      <c r="AY85" s="147">
        <v>-4852.41</v>
      </c>
      <c r="AZ85" s="147">
        <v>-4558.0209999999997</v>
      </c>
      <c r="BA85" s="204">
        <v>-4771.8980000000001</v>
      </c>
    </row>
    <row r="86" spans="2:53" s="147" customFormat="1" hidden="1" outlineLevel="1">
      <c r="C86" s="206" t="str">
        <f>_xll.IdPrj.AnalyzerFuncs.AnalyzerOLAPMember("[Account].[Reporting Hierarchy].&amp;[953]","","BS3300 - BS_Prov. Trade Receivables","","-524283.-524283.953","[Account].[Reporting Hierarchy]","000","D1")</f>
        <v>BS3300 - BS_Prov. Trade Receivables</v>
      </c>
      <c r="D86" s="203" t="str">
        <f>_xll.IdPrj.AnalyzerFuncs.AnalyzerOLAPMember("[Destination].&amp;[0]","","No Destination","","2.2.0","[Destination]","000","D2")</f>
        <v>No Destination</v>
      </c>
      <c r="E86" s="205">
        <v>-2216.0540000000001</v>
      </c>
      <c r="F86" s="147">
        <v>-2521.3409999999999</v>
      </c>
      <c r="G86" s="147">
        <v>-2644.3130000000001</v>
      </c>
      <c r="H86" s="147">
        <v>-2054.9989999999998</v>
      </c>
      <c r="Q86" s="204">
        <v>-2216.0540000000001</v>
      </c>
      <c r="R86" s="204">
        <v>-2521.3409999999999</v>
      </c>
      <c r="S86" s="204">
        <v>-2644.3130000000001</v>
      </c>
      <c r="T86" s="204">
        <v>-1977.1120000000001</v>
      </c>
      <c r="U86" s="204">
        <v>-1990.6120000000001</v>
      </c>
      <c r="V86" s="204">
        <v>-2001.412</v>
      </c>
      <c r="W86" s="204">
        <v>-2014.712</v>
      </c>
      <c r="X86" s="204">
        <v>-2023.712</v>
      </c>
      <c r="Y86" s="204">
        <v>-2036.912</v>
      </c>
      <c r="Z86" s="204">
        <v>-2046.8119999999999</v>
      </c>
      <c r="AA86" s="204">
        <v>-2055.6120000000001</v>
      </c>
      <c r="AB86" s="204">
        <v>-2060.6120000000001</v>
      </c>
      <c r="AC86" s="204">
        <v>-723.63099999999997</v>
      </c>
      <c r="AD86" s="204">
        <v>-734.73099999999999</v>
      </c>
      <c r="AE86" s="204">
        <v>-747.73099999999999</v>
      </c>
      <c r="AF86" s="204">
        <v>-762.03099999999995</v>
      </c>
      <c r="AG86" s="204">
        <v>-773.53099999999995</v>
      </c>
      <c r="AH86" s="204">
        <v>-785.33100000000002</v>
      </c>
      <c r="AI86" s="204">
        <v>-719.32299999999998</v>
      </c>
      <c r="AJ86" s="204">
        <v>-729.32299999999998</v>
      </c>
      <c r="AK86" s="204">
        <v>-742.52300000000002</v>
      </c>
      <c r="AL86" s="204">
        <v>-754.423</v>
      </c>
      <c r="AM86" s="204">
        <v>-764.22299999999996</v>
      </c>
      <c r="AN86" s="204">
        <v>-770.22299999999996</v>
      </c>
      <c r="AO86" s="205"/>
      <c r="AP86" s="147">
        <v>-760.95600000000002</v>
      </c>
      <c r="AQ86" s="147">
        <v>-888.06700000000001</v>
      </c>
      <c r="AR86" s="147">
        <v>-880.05799999999999</v>
      </c>
      <c r="AS86" s="147">
        <v>-829.83600000000001</v>
      </c>
      <c r="AT86" s="147">
        <v>-784.82299999999998</v>
      </c>
      <c r="AU86" s="147">
        <v>-871.36099999999999</v>
      </c>
      <c r="AV86" s="147">
        <v>-838.26099999999997</v>
      </c>
      <c r="AW86" s="147">
        <v>-714.93</v>
      </c>
      <c r="AX86" s="147">
        <v>-339.88900000000001</v>
      </c>
      <c r="AY86" s="147">
        <v>-924.24199999999996</v>
      </c>
      <c r="AZ86" s="147">
        <v>-2251.9740000000002</v>
      </c>
      <c r="BA86" s="204">
        <v>-714.93100000000004</v>
      </c>
    </row>
    <row r="87" spans="2:53" s="147" customFormat="1" hidden="1" outlineLevel="1">
      <c r="C87" s="206" t="str">
        <f>_xll.IdPrj.AnalyzerFuncs.AnalyzerOLAPMember("[Account].[Reporting Hierarchy].&amp;[996]","","BS5750 - BS_Prov. Other","","-524283.-524283.996","[Account].[Reporting Hierarchy]","000","D1")</f>
        <v>BS5750 - BS_Prov. Other</v>
      </c>
      <c r="D87" s="203" t="str">
        <f>_xll.IdPrj.AnalyzerFuncs.AnalyzerOLAPMember("[Destination].&amp;[0]","","No Destination","","2.2.0","[Destination]","000","D2")</f>
        <v>No Destination</v>
      </c>
      <c r="E87" s="205">
        <v>-23.582999999999998</v>
      </c>
      <c r="F87" s="147">
        <v>-23.771000000000001</v>
      </c>
      <c r="G87" s="147">
        <v>-24.24</v>
      </c>
      <c r="H87" s="147">
        <v>-25.527000000000001</v>
      </c>
      <c r="Q87" s="204">
        <v>-23.582999999999998</v>
      </c>
      <c r="R87" s="204">
        <v>-23.771000000000001</v>
      </c>
      <c r="S87" s="204">
        <v>-24.24</v>
      </c>
      <c r="T87" s="204">
        <v>-24.297000000000001</v>
      </c>
      <c r="U87" s="204">
        <v>-24.617000000000001</v>
      </c>
      <c r="V87" s="204">
        <v>-24.937000000000001</v>
      </c>
      <c r="W87" s="204">
        <v>-25.257000000000001</v>
      </c>
      <c r="X87" s="204">
        <v>-25.577000000000002</v>
      </c>
      <c r="Y87" s="204">
        <v>-25.896999999999998</v>
      </c>
      <c r="Z87" s="204">
        <v>-26.216999999999999</v>
      </c>
      <c r="AA87" s="204">
        <v>-26.536999999999999</v>
      </c>
      <c r="AB87" s="204">
        <v>-26.856999999999999</v>
      </c>
      <c r="AC87" s="204">
        <v>-18.763000000000002</v>
      </c>
      <c r="AD87" s="204">
        <v>-18.899999999999999</v>
      </c>
      <c r="AE87" s="204">
        <v>-19.036999999999999</v>
      </c>
      <c r="AF87" s="204">
        <v>-19.173999999999999</v>
      </c>
      <c r="AG87" s="204">
        <v>-19.311</v>
      </c>
      <c r="AH87" s="204">
        <v>-19.448</v>
      </c>
      <c r="AI87" s="204">
        <v>-19.448</v>
      </c>
      <c r="AJ87" s="204">
        <v>-19.448</v>
      </c>
      <c r="AK87" s="204">
        <v>-19.448</v>
      </c>
      <c r="AL87" s="204">
        <v>-19.448</v>
      </c>
      <c r="AM87" s="204">
        <v>-19.448</v>
      </c>
      <c r="AN87" s="204">
        <v>-19.448</v>
      </c>
      <c r="AO87" s="205"/>
      <c r="AP87" s="147">
        <v>-54.631999999999998</v>
      </c>
      <c r="AQ87" s="147">
        <v>-54.795000000000002</v>
      </c>
      <c r="AR87" s="147">
        <v>-54.896999999999998</v>
      </c>
      <c r="AS87" s="147">
        <v>-55.526000000000003</v>
      </c>
      <c r="AT87" s="147">
        <v>-55.505000000000003</v>
      </c>
      <c r="AU87" s="147">
        <v>-55.656999999999996</v>
      </c>
      <c r="AV87" s="147">
        <v>-55.863999999999997</v>
      </c>
      <c r="AW87" s="147">
        <v>-18.617999999999999</v>
      </c>
      <c r="AX87" s="147">
        <v>-18.687000000000001</v>
      </c>
      <c r="AY87" s="147">
        <v>-22.669</v>
      </c>
      <c r="AZ87" s="147">
        <v>-23.349</v>
      </c>
      <c r="BA87" s="204">
        <v>-18.626000000000001</v>
      </c>
    </row>
    <row r="88" spans="2:53" s="147" customFormat="1" hidden="1" outlineLevel="1">
      <c r="C88" s="206" t="str">
        <f>_xll.IdPrj.AnalyzerFuncs.AnalyzerOLAPMember("[Account].[Reporting Hierarchy].&amp;[985]","","BS5450 - BS_Prov. Assets Sales Receivables","","-524283.-524283.985","[Account].[Reporting Hierarchy]","000","D1")</f>
        <v>BS5450 - BS_Prov. Assets Sales Receivables</v>
      </c>
      <c r="D88" s="203" t="str">
        <f>_xll.IdPrj.AnalyzerFuncs.AnalyzerOLAPMember("[Destination].&amp;[0]","","No Destination","","2.2.0","[Destination]","000","D2")</f>
        <v>No Destination</v>
      </c>
      <c r="E88" s="205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4"/>
      <c r="AB88" s="204"/>
      <c r="AC88" s="204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N88" s="204"/>
      <c r="AO88" s="205"/>
      <c r="BA88" s="204"/>
    </row>
    <row r="89" spans="2:53" s="147" customFormat="1" hidden="1" outlineLevel="1">
      <c r="C89" s="206" t="str">
        <f>_xll.IdPrj.AnalyzerFuncs.AnalyzerOLAPMember("[Account].[Reporting Hierarchy].&amp;[969]","","BS5100 - BS_Capitalized Fees","","-524283.-524283.969","[Account].[Reporting Hierarchy]","000","D1")</f>
        <v>BS5100 - BS_Capitalized Fees</v>
      </c>
      <c r="D89" s="203" t="str">
        <f>_xll.IdPrj.AnalyzerFuncs.AnalyzerOLAPMember("[Destination].&amp;[0]","","No Destination","","2.2.0","[Destination]","000","D2")</f>
        <v>No Destination</v>
      </c>
      <c r="E89" s="205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5"/>
      <c r="BA89" s="204"/>
    </row>
    <row r="90" spans="2:53" s="147" customFormat="1" hidden="1" outlineLevel="1">
      <c r="C90" s="206" t="str">
        <f>_xll.IdPrj.AnalyzerFuncs.AnalyzerOLAPMember("[Account].[Reporting Hierarchy].&amp;[986]","","BS5510 - BS_Income Tax Prepayments","","-524283.-524283.986","[Account].[Reporting Hierarchy]","000","D1")</f>
        <v>BS5510 - BS_Income Tax Prepayments</v>
      </c>
      <c r="D90" s="203" t="str">
        <f>_xll.IdPrj.AnalyzerFuncs.AnalyzerOLAPMember("[Destination].&amp;[0]","","No Destination","","2.2.0","[Destination]","000","D2")</f>
        <v>No Destination</v>
      </c>
      <c r="E90" s="205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  <c r="AH90" s="204"/>
      <c r="AI90" s="204"/>
      <c r="AJ90" s="204"/>
      <c r="AK90" s="204"/>
      <c r="AL90" s="204"/>
      <c r="AM90" s="204"/>
      <c r="AN90" s="204"/>
      <c r="AO90" s="205"/>
      <c r="BA90" s="204"/>
    </row>
    <row r="91" spans="2:53" s="147" customFormat="1" hidden="1" outlineLevel="1">
      <c r="C91" s="206" t="str">
        <f>_xll.IdPrj.AnalyzerFuncs.AnalyzerOLAPMember("[Account].[Reporting Hierarchy].&amp;[987]","","BS5520 - BS_C/A Income Tax Conso.Debit","","-524283.-524283.987","[Account].[Reporting Hierarchy]","000","D1")</f>
        <v>BS5520 - BS_C/A Income Tax Conso.Debit</v>
      </c>
      <c r="D91" s="203" t="str">
        <f>_xll.IdPrj.AnalyzerFuncs.AnalyzerOLAPMember("[Destination].&amp;[0]","","No Destination","","2.2.0","[Destination]","000","D2")</f>
        <v>No Destination</v>
      </c>
      <c r="E91" s="205">
        <v>4232.0479999999998</v>
      </c>
      <c r="F91" s="147">
        <v>4279.875</v>
      </c>
      <c r="G91" s="147">
        <v>3909.6509999999998</v>
      </c>
      <c r="Q91" s="204">
        <v>4232.0479999999998</v>
      </c>
      <c r="R91" s="204">
        <v>4279.875</v>
      </c>
      <c r="S91" s="204">
        <v>3909.6509999999998</v>
      </c>
      <c r="T91" s="204"/>
      <c r="U91" s="204"/>
      <c r="V91" s="204"/>
      <c r="W91" s="204"/>
      <c r="X91" s="204"/>
      <c r="Y91" s="204"/>
      <c r="Z91" s="204"/>
      <c r="AA91" s="204"/>
      <c r="AB91" s="204"/>
      <c r="AC91" s="204">
        <v>3871.3270000000002</v>
      </c>
      <c r="AD91" s="204">
        <v>3871.3270000000002</v>
      </c>
      <c r="AE91" s="204">
        <v>3871.3270000000002</v>
      </c>
      <c r="AF91" s="204"/>
      <c r="AG91" s="204"/>
      <c r="AH91" s="204"/>
      <c r="AI91" s="204"/>
      <c r="AJ91" s="204"/>
      <c r="AK91" s="204"/>
      <c r="AL91" s="204"/>
      <c r="AM91" s="204"/>
      <c r="AN91" s="204"/>
      <c r="AO91" s="205"/>
      <c r="AP91" s="147">
        <v>2989.7139999999999</v>
      </c>
      <c r="AQ91" s="147">
        <v>4252.7659999999996</v>
      </c>
      <c r="AR91" s="147">
        <v>919.43600000000004</v>
      </c>
      <c r="AS91" s="147">
        <v>988.58600000000001</v>
      </c>
      <c r="AT91" s="147">
        <v>2003.501</v>
      </c>
      <c r="AU91" s="147">
        <v>1994.1990000000001</v>
      </c>
      <c r="AV91" s="147">
        <v>1724.106</v>
      </c>
      <c r="AW91" s="147">
        <v>2794.7759999999998</v>
      </c>
      <c r="AX91" s="147">
        <v>2775.413</v>
      </c>
      <c r="AY91" s="147">
        <v>3114.172</v>
      </c>
      <c r="AZ91" s="147">
        <v>4279.875</v>
      </c>
      <c r="BA91" s="204">
        <v>3871.3270000000002</v>
      </c>
    </row>
    <row r="92" spans="2:53" s="147" customFormat="1" hidden="1" outlineLevel="1">
      <c r="C92" s="206" t="str">
        <f>_xll.IdPrj.AnalyzerFuncs.AnalyzerOLAPMember("[Account].[Reporting Hierarchy].&amp;[1000]","","BS6110 - BS_Profit Sharing &amp; Int. (5 years)","","-524283.-524283.1000","[Account].[Reporting Hierarchy]","000","D1")</f>
        <v>BS6110 - BS_Profit Sharing &amp; Int. (5 years)</v>
      </c>
      <c r="D92" s="203" t="str">
        <f>_xll.IdPrj.AnalyzerFuncs.AnalyzerOLAPMember("[Destination].&amp;[0]","","No Destination","","2.2.0","[Destination]","000","D2")</f>
        <v>No Destination</v>
      </c>
      <c r="E92" s="205">
        <v>7515.9059999999999</v>
      </c>
      <c r="F92" s="147">
        <v>7543.1</v>
      </c>
      <c r="G92" s="147">
        <v>7562.884</v>
      </c>
      <c r="H92" s="147">
        <v>5599.9459999999999</v>
      </c>
      <c r="Q92" s="204">
        <v>7515.9059999999999</v>
      </c>
      <c r="R92" s="204">
        <v>7543.1</v>
      </c>
      <c r="S92" s="204">
        <v>7562.884</v>
      </c>
      <c r="T92" s="204">
        <v>5622.6819999999998</v>
      </c>
      <c r="U92" s="204">
        <v>5418.6819999999998</v>
      </c>
      <c r="V92" s="204">
        <v>5418.6819999999998</v>
      </c>
      <c r="W92" s="204">
        <v>5418.6819999999998</v>
      </c>
      <c r="X92" s="204">
        <v>5428.6819999999998</v>
      </c>
      <c r="Y92" s="204">
        <v>5458.6819999999998</v>
      </c>
      <c r="Z92" s="204">
        <v>5488.6819999999998</v>
      </c>
      <c r="AA92" s="204">
        <v>5518.6819999999998</v>
      </c>
      <c r="AB92" s="204">
        <v>5548.6819999999998</v>
      </c>
      <c r="AC92" s="204">
        <v>7614.8149999999996</v>
      </c>
      <c r="AD92" s="204">
        <v>7615.8149999999996</v>
      </c>
      <c r="AE92" s="204">
        <v>7616.8149999999996</v>
      </c>
      <c r="AF92" s="204">
        <v>5939.21</v>
      </c>
      <c r="AG92" s="204">
        <v>5945.21</v>
      </c>
      <c r="AH92" s="204">
        <v>5951.21</v>
      </c>
      <c r="AI92" s="204">
        <v>5962.21</v>
      </c>
      <c r="AJ92" s="204">
        <v>5973.21</v>
      </c>
      <c r="AK92" s="204">
        <v>6004.21</v>
      </c>
      <c r="AL92" s="204">
        <v>6035.21</v>
      </c>
      <c r="AM92" s="204">
        <v>6066.21</v>
      </c>
      <c r="AN92" s="204">
        <v>6097.21</v>
      </c>
      <c r="AO92" s="205">
        <v>8372.7180000000008</v>
      </c>
      <c r="AP92" s="147">
        <v>8410.8469999999998</v>
      </c>
      <c r="AQ92" s="147">
        <v>8377.8050000000003</v>
      </c>
      <c r="AR92" s="147">
        <v>6479.1580000000004</v>
      </c>
      <c r="AS92" s="147">
        <v>6488.4390000000003</v>
      </c>
      <c r="AT92" s="147">
        <v>6506.1540000000005</v>
      </c>
      <c r="AU92" s="147">
        <v>7489.7719999999999</v>
      </c>
      <c r="AV92" s="147">
        <v>7516.0079999999998</v>
      </c>
      <c r="AW92" s="147">
        <v>7494.2160000000003</v>
      </c>
      <c r="AX92" s="147">
        <v>7514.268</v>
      </c>
      <c r="AY92" s="147">
        <v>7523.9889999999996</v>
      </c>
      <c r="AZ92" s="147">
        <v>7538.5379999999996</v>
      </c>
      <c r="BA92" s="204">
        <v>7615.848</v>
      </c>
    </row>
    <row r="93" spans="2:53" s="147" customFormat="1" hidden="1" outlineLevel="1">
      <c r="C93" s="206" t="str">
        <f>_xll.IdPrj.AnalyzerFuncs.AnalyzerOLAPMember("[Account].[Reporting Hierarchy].&amp;[1021]","","BS6510 - BS_Income Tax due","","-524283.-524283.1021","[Account].[Reporting Hierarchy]","000","D1")</f>
        <v>BS6510 - BS_Income Tax due</v>
      </c>
      <c r="D93" s="203" t="str">
        <f>_xll.IdPrj.AnalyzerFuncs.AnalyzerOLAPMember("[Destination].&amp;[0]","","No Destination","","2.2.0","[Destination]","000","D2")</f>
        <v>No Destination</v>
      </c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BA93" s="204"/>
    </row>
    <row r="94" spans="2:53" s="147" customFormat="1" hidden="1" outlineLevel="1">
      <c r="C94" s="206" t="str">
        <f>_xll.IdPrj.AnalyzerFuncs.AnalyzerOLAPMember("[Account].[Reporting Hierarchy].&amp;[1022]","","BS6520 - BS_C/A Income Tax Conso. Credit","","-524283.-524283.1022","[Account].[Reporting Hierarchy]","000","D1")</f>
        <v>BS6520 - BS_C/A Income Tax Conso. Credit</v>
      </c>
      <c r="D94" s="203" t="str">
        <f>_xll.IdPrj.AnalyzerFuncs.AnalyzerOLAPMember("[Destination].&amp;[0]","","No Destination","","2.2.0","[Destination]","000","D2")</f>
        <v>No Destination</v>
      </c>
      <c r="H94" s="147">
        <v>597.81799999999998</v>
      </c>
      <c r="Q94" s="204"/>
      <c r="R94" s="204"/>
      <c r="S94" s="204"/>
      <c r="T94" s="204">
        <v>410</v>
      </c>
      <c r="U94" s="204">
        <v>410</v>
      </c>
      <c r="V94" s="204">
        <v>400</v>
      </c>
      <c r="W94" s="204">
        <v>700</v>
      </c>
      <c r="X94" s="204">
        <v>800</v>
      </c>
      <c r="Y94" s="204">
        <v>980</v>
      </c>
      <c r="Z94" s="204">
        <v>1000</v>
      </c>
      <c r="AA94" s="204">
        <v>700</v>
      </c>
      <c r="AB94" s="204">
        <v>240</v>
      </c>
      <c r="AC94" s="204">
        <v>1E-3</v>
      </c>
      <c r="AD94" s="204">
        <v>1E-3</v>
      </c>
      <c r="AE94" s="204">
        <v>30.001000000000001</v>
      </c>
      <c r="AF94" s="204">
        <v>410.00099999999998</v>
      </c>
      <c r="AG94" s="204">
        <v>410.00099999999998</v>
      </c>
      <c r="AH94" s="204">
        <v>400.00099999999998</v>
      </c>
      <c r="AI94" s="204">
        <v>700.00099999999998</v>
      </c>
      <c r="AJ94" s="204">
        <v>800.00099999999998</v>
      </c>
      <c r="AK94" s="204">
        <v>980.00099999999998</v>
      </c>
      <c r="AL94" s="204">
        <v>1000.001</v>
      </c>
      <c r="AM94" s="204">
        <v>700.00099999999998</v>
      </c>
      <c r="AN94" s="204">
        <v>240.001</v>
      </c>
      <c r="AR94" s="147">
        <v>0.40899999999999997</v>
      </c>
      <c r="AS94" s="147">
        <v>47.052</v>
      </c>
      <c r="AT94" s="147">
        <v>-9.1470000000000002</v>
      </c>
      <c r="AV94" s="147">
        <v>7.79</v>
      </c>
      <c r="BA94" s="204"/>
    </row>
    <row r="95" spans="2:53" s="147" customFormat="1" hidden="1" outlineLevel="1">
      <c r="Q95" s="204">
        <v>7575.2</v>
      </c>
      <c r="R95" s="204">
        <v>17646.099999999999</v>
      </c>
      <c r="S95" s="204">
        <v>29578.5</v>
      </c>
      <c r="T95" s="204">
        <v>42832.800000000003</v>
      </c>
      <c r="U95" s="204">
        <v>53300.4</v>
      </c>
      <c r="V95" s="204">
        <v>64065.3</v>
      </c>
      <c r="W95" s="204">
        <v>75301.600000000006</v>
      </c>
      <c r="X95" s="204">
        <v>84366.8</v>
      </c>
      <c r="Y95" s="204">
        <v>96494.1</v>
      </c>
      <c r="Z95" s="204">
        <v>107349.5</v>
      </c>
      <c r="AA95" s="204">
        <v>116077.7</v>
      </c>
      <c r="AB95" s="204">
        <v>121033.1</v>
      </c>
      <c r="AC95" s="204">
        <v>7575.2</v>
      </c>
      <c r="AD95" s="204">
        <v>17646.099999999999</v>
      </c>
      <c r="AE95" s="204">
        <v>29578.5</v>
      </c>
      <c r="AF95" s="204">
        <v>42832.800000000003</v>
      </c>
      <c r="AG95" s="204">
        <v>53300.4</v>
      </c>
      <c r="AH95" s="204">
        <v>64065.3</v>
      </c>
      <c r="AI95" s="204">
        <v>75301.600000000006</v>
      </c>
      <c r="AJ95" s="204">
        <v>84366.8</v>
      </c>
      <c r="AK95" s="204">
        <v>96494.1</v>
      </c>
      <c r="AL95" s="204">
        <v>107349.5</v>
      </c>
      <c r="AM95" s="204">
        <v>116077.7</v>
      </c>
      <c r="AN95" s="204">
        <v>121033.1</v>
      </c>
      <c r="AO95" s="147">
        <v>10367.022000000001</v>
      </c>
      <c r="AP95" s="147">
        <v>19726.821</v>
      </c>
      <c r="AQ95" s="147">
        <v>30416.381000000001</v>
      </c>
      <c r="AR95" s="147">
        <v>40489.438000000002</v>
      </c>
      <c r="AS95" s="147">
        <v>48068.883000000002</v>
      </c>
      <c r="AT95" s="147">
        <v>57917.383000000002</v>
      </c>
      <c r="AU95" s="147">
        <v>67602.273000000001</v>
      </c>
      <c r="AV95" s="147">
        <v>76892.157000000007</v>
      </c>
      <c r="AW95" s="147">
        <v>86090.467999999993</v>
      </c>
      <c r="AX95" s="147">
        <v>95676.474000000002</v>
      </c>
      <c r="AY95" s="147">
        <v>102775.179</v>
      </c>
      <c r="AZ95" s="147">
        <v>106881.739</v>
      </c>
      <c r="BA95" s="204">
        <v>107184.46799999999</v>
      </c>
    </row>
    <row r="96" spans="2:53" s="147" customFormat="1" hidden="1" outlineLevel="1">
      <c r="Q96" s="204">
        <v>-31.87</v>
      </c>
      <c r="R96" s="204">
        <v>-73.44</v>
      </c>
      <c r="S96" s="204">
        <v>-121.16</v>
      </c>
      <c r="T96" s="204">
        <v>-175.08</v>
      </c>
      <c r="U96" s="204">
        <v>-216.92</v>
      </c>
      <c r="V96" s="204">
        <v>-260.16000000000003</v>
      </c>
      <c r="W96" s="204">
        <v>-305.58</v>
      </c>
      <c r="X96" s="204">
        <v>-341.75</v>
      </c>
      <c r="Y96" s="204">
        <v>-390.67</v>
      </c>
      <c r="Z96" s="204">
        <v>-434.48</v>
      </c>
      <c r="AA96" s="204">
        <v>-470.29</v>
      </c>
      <c r="AB96" s="204">
        <v>-490.82</v>
      </c>
      <c r="AC96" s="204">
        <v>-31.87</v>
      </c>
      <c r="AD96" s="204">
        <v>-73.44</v>
      </c>
      <c r="AE96" s="204">
        <v>-121.16</v>
      </c>
      <c r="AF96" s="204">
        <v>-175.08</v>
      </c>
      <c r="AG96" s="204">
        <v>-216.92</v>
      </c>
      <c r="AH96" s="204">
        <v>-260.16000000000003</v>
      </c>
      <c r="AI96" s="204">
        <v>-305.58</v>
      </c>
      <c r="AJ96" s="204">
        <v>-341.75</v>
      </c>
      <c r="AK96" s="204">
        <v>-390.67</v>
      </c>
      <c r="AL96" s="204">
        <v>-434.48</v>
      </c>
      <c r="AM96" s="204">
        <v>-470.29</v>
      </c>
      <c r="AN96" s="204">
        <v>-490.82</v>
      </c>
      <c r="AO96" s="147">
        <v>-50.795000000000002</v>
      </c>
      <c r="AP96" s="147">
        <v>-100.09399999999999</v>
      </c>
      <c r="AQ96" s="147">
        <v>-157.20500000000001</v>
      </c>
      <c r="AR96" s="147">
        <v>-182.066</v>
      </c>
      <c r="AS96" s="147">
        <v>-199.083</v>
      </c>
      <c r="AT96" s="147">
        <v>-232.059</v>
      </c>
      <c r="AU96" s="147">
        <v>-261.72300000000001</v>
      </c>
      <c r="AV96" s="147">
        <v>-318.66399999999999</v>
      </c>
      <c r="AW96" s="147">
        <v>-346.01100000000002</v>
      </c>
      <c r="AX96" s="147">
        <v>-393.38</v>
      </c>
      <c r="AY96" s="147">
        <v>-446.34699999999998</v>
      </c>
      <c r="AZ96" s="147">
        <v>-476.815</v>
      </c>
      <c r="BA96" s="204">
        <v>-445.791</v>
      </c>
    </row>
    <row r="97" spans="1:53" s="147" customFormat="1" hidden="1" outlineLevel="1">
      <c r="Q97" s="204">
        <v>-3507.19</v>
      </c>
      <c r="R97" s="204">
        <v>-7222.74</v>
      </c>
      <c r="S97" s="204">
        <v>-11336.65</v>
      </c>
      <c r="T97" s="204">
        <v>-16134.15</v>
      </c>
      <c r="U97" s="204">
        <v>-19690.29</v>
      </c>
      <c r="V97" s="204">
        <v>-23363.17</v>
      </c>
      <c r="W97" s="204">
        <v>-28575.599999999999</v>
      </c>
      <c r="X97" s="204">
        <v>-31019.13</v>
      </c>
      <c r="Y97" s="204">
        <v>-34928.57</v>
      </c>
      <c r="Z97" s="204">
        <v>-38056.49</v>
      </c>
      <c r="AA97" s="204">
        <v>-40943.07</v>
      </c>
      <c r="AB97" s="204">
        <v>-42946.39</v>
      </c>
      <c r="AC97" s="204">
        <v>-3507.19</v>
      </c>
      <c r="AD97" s="204">
        <v>-7222.74</v>
      </c>
      <c r="AE97" s="204">
        <v>-11336.65</v>
      </c>
      <c r="AF97" s="204">
        <v>-16134.15</v>
      </c>
      <c r="AG97" s="204">
        <v>-19690.29</v>
      </c>
      <c r="AH97" s="204">
        <v>-23363.17</v>
      </c>
      <c r="AI97" s="204">
        <v>-28575.599999999999</v>
      </c>
      <c r="AJ97" s="204">
        <v>-31019.13</v>
      </c>
      <c r="AK97" s="204">
        <v>-34928.57</v>
      </c>
      <c r="AL97" s="204">
        <v>-38056.49</v>
      </c>
      <c r="AM97" s="204">
        <v>-40943.07</v>
      </c>
      <c r="AN97" s="204">
        <v>-42946.39</v>
      </c>
      <c r="AO97" s="147">
        <v>-4127.12</v>
      </c>
      <c r="AP97" s="147">
        <v>-7170.143</v>
      </c>
      <c r="AQ97" s="147">
        <v>-10739.151</v>
      </c>
      <c r="AR97" s="147">
        <v>-13862.055</v>
      </c>
      <c r="AS97" s="147">
        <v>-16774.967000000001</v>
      </c>
      <c r="AT97" s="147">
        <v>-20139.186000000002</v>
      </c>
      <c r="AU97" s="147">
        <v>-25471.811000000002</v>
      </c>
      <c r="AV97" s="147">
        <v>-27776.707999999999</v>
      </c>
      <c r="AW97" s="147">
        <v>-29670.15</v>
      </c>
      <c r="AX97" s="147">
        <v>-32593.415000000001</v>
      </c>
      <c r="AY97" s="147">
        <v>-35016.201999999997</v>
      </c>
      <c r="AZ97" s="147">
        <v>-36471.368999999999</v>
      </c>
      <c r="BA97" s="204">
        <v>-35587.720999999998</v>
      </c>
    </row>
    <row r="98" spans="1:53" s="147" customFormat="1" hidden="1" outlineLevel="1">
      <c r="C98" s="147" t="str">
        <f>_xll.IdPrj.AnalyzerFuncs.AnalyzerOLAPMember("[Account].[Reporting Hierarchy].&amp;[2252]","","R0000 - Net Result","","-524283.-524283.2252","[Account].[Reporting Hierarchy]","000","D1")</f>
        <v>R0000 - Net Result</v>
      </c>
      <c r="D98" s="207" t="str">
        <f>_xll.IdPrj.AnalyzerFuncs.AnalyzerOLAPMember("[Destination].&amp;[6]","","R03 - Total turnover","","2.2.6","[Destination]","000","D2")</f>
        <v>R03 - Total turnover</v>
      </c>
      <c r="E98" s="147">
        <v>12548.34</v>
      </c>
      <c r="F98" s="147">
        <v>27182.402999999998</v>
      </c>
      <c r="G98" s="147">
        <v>44309.19</v>
      </c>
      <c r="H98" s="147">
        <v>59351.906000000003</v>
      </c>
      <c r="Q98" s="204">
        <v>12548.34</v>
      </c>
      <c r="R98" s="204">
        <v>27182.402999999998</v>
      </c>
      <c r="S98" s="204">
        <v>44309.19</v>
      </c>
      <c r="T98" s="204">
        <v>59935.6</v>
      </c>
      <c r="U98" s="204">
        <v>74240.95</v>
      </c>
      <c r="V98" s="204">
        <v>92093.82</v>
      </c>
      <c r="W98" s="204">
        <v>107196.38</v>
      </c>
      <c r="X98" s="204">
        <v>121939.719</v>
      </c>
      <c r="Y98" s="204">
        <v>138981.94899999999</v>
      </c>
      <c r="Z98" s="204">
        <v>155888.049</v>
      </c>
      <c r="AA98" s="204">
        <v>168189.359</v>
      </c>
      <c r="AB98" s="204">
        <v>175211.13099999999</v>
      </c>
      <c r="AC98" s="204">
        <v>11008.945</v>
      </c>
      <c r="AD98" s="204">
        <v>25943.858</v>
      </c>
      <c r="AE98" s="204">
        <v>43484.375</v>
      </c>
      <c r="AF98" s="204">
        <v>61757.353000000003</v>
      </c>
      <c r="AG98" s="204">
        <v>76648.244000000006</v>
      </c>
      <c r="AH98" s="204">
        <v>92993.917000000001</v>
      </c>
      <c r="AI98" s="204">
        <v>109310.36500000001</v>
      </c>
      <c r="AJ98" s="204">
        <v>123130.11500000001</v>
      </c>
      <c r="AK98" s="204">
        <v>140144.39499999999</v>
      </c>
      <c r="AL98" s="204">
        <v>155688.39499999999</v>
      </c>
      <c r="AM98" s="204">
        <v>168070.32800000001</v>
      </c>
      <c r="AN98" s="204">
        <v>174894.93400000001</v>
      </c>
      <c r="AO98" s="147">
        <v>14299.323</v>
      </c>
      <c r="AP98" s="147">
        <v>29852.74</v>
      </c>
      <c r="AQ98" s="147">
        <v>46255.83</v>
      </c>
      <c r="AR98" s="147">
        <v>61198.33</v>
      </c>
      <c r="AS98" s="147">
        <v>72033.615999999995</v>
      </c>
      <c r="AT98" s="147">
        <v>86318.233999999997</v>
      </c>
      <c r="AU98" s="147">
        <v>100079.704</v>
      </c>
      <c r="AV98" s="147">
        <v>113558.18799999999</v>
      </c>
      <c r="AW98" s="147">
        <v>127949.908</v>
      </c>
      <c r="AX98" s="147">
        <v>142991.37100000001</v>
      </c>
      <c r="AY98" s="147">
        <v>154529.177</v>
      </c>
      <c r="AZ98" s="147">
        <v>161832.34400000001</v>
      </c>
      <c r="BA98" s="204">
        <v>162352.20300000001</v>
      </c>
    </row>
    <row r="99" spans="1:53" s="160" customFormat="1" hidden="1" outlineLevel="1">
      <c r="D99" s="208" t="s">
        <v>18</v>
      </c>
      <c r="E99" s="209">
        <f>E98</f>
        <v>12548.34</v>
      </c>
      <c r="F99" s="209">
        <f t="shared" ref="F99:BA99" si="77">F98</f>
        <v>27182.402999999998</v>
      </c>
      <c r="G99" s="209">
        <f t="shared" si="77"/>
        <v>44309.19</v>
      </c>
      <c r="H99" s="209">
        <f t="shared" si="77"/>
        <v>59351.906000000003</v>
      </c>
      <c r="I99" s="209">
        <f t="shared" si="77"/>
        <v>0</v>
      </c>
      <c r="J99" s="209">
        <f t="shared" si="77"/>
        <v>0</v>
      </c>
      <c r="K99" s="209">
        <f t="shared" si="77"/>
        <v>0</v>
      </c>
      <c r="L99" s="209">
        <f t="shared" si="77"/>
        <v>0</v>
      </c>
      <c r="M99" s="209">
        <f t="shared" si="77"/>
        <v>0</v>
      </c>
      <c r="N99" s="209">
        <f t="shared" si="77"/>
        <v>0</v>
      </c>
      <c r="O99" s="209">
        <f t="shared" si="77"/>
        <v>0</v>
      </c>
      <c r="P99" s="209">
        <f t="shared" si="77"/>
        <v>0</v>
      </c>
      <c r="Q99" s="209">
        <f t="shared" ref="Q99:AB99" si="78">Q98</f>
        <v>12548.34</v>
      </c>
      <c r="R99" s="209">
        <f t="shared" si="78"/>
        <v>27182.402999999998</v>
      </c>
      <c r="S99" s="209">
        <f t="shared" si="78"/>
        <v>44309.19</v>
      </c>
      <c r="T99" s="209">
        <f t="shared" si="78"/>
        <v>59935.6</v>
      </c>
      <c r="U99" s="209">
        <f t="shared" si="78"/>
        <v>74240.95</v>
      </c>
      <c r="V99" s="209">
        <f t="shared" si="78"/>
        <v>92093.82</v>
      </c>
      <c r="W99" s="209">
        <f t="shared" si="78"/>
        <v>107196.38</v>
      </c>
      <c r="X99" s="209">
        <f t="shared" si="78"/>
        <v>121939.719</v>
      </c>
      <c r="Y99" s="209">
        <f t="shared" si="78"/>
        <v>138981.94899999999</v>
      </c>
      <c r="Z99" s="209">
        <f t="shared" si="78"/>
        <v>155888.049</v>
      </c>
      <c r="AA99" s="209">
        <f t="shared" si="78"/>
        <v>168189.359</v>
      </c>
      <c r="AB99" s="209">
        <f t="shared" si="78"/>
        <v>175211.13099999999</v>
      </c>
      <c r="AC99" s="209">
        <f t="shared" si="77"/>
        <v>11008.945</v>
      </c>
      <c r="AD99" s="209">
        <f t="shared" si="77"/>
        <v>25943.858</v>
      </c>
      <c r="AE99" s="209">
        <f t="shared" si="77"/>
        <v>43484.375</v>
      </c>
      <c r="AF99" s="209">
        <f t="shared" si="77"/>
        <v>61757.353000000003</v>
      </c>
      <c r="AG99" s="209">
        <f t="shared" si="77"/>
        <v>76648.244000000006</v>
      </c>
      <c r="AH99" s="209">
        <f t="shared" si="77"/>
        <v>92993.917000000001</v>
      </c>
      <c r="AI99" s="209">
        <f t="shared" si="77"/>
        <v>109310.36500000001</v>
      </c>
      <c r="AJ99" s="209">
        <f t="shared" si="77"/>
        <v>123130.11500000001</v>
      </c>
      <c r="AK99" s="209">
        <f t="shared" si="77"/>
        <v>140144.39499999999</v>
      </c>
      <c r="AL99" s="209">
        <f t="shared" si="77"/>
        <v>155688.39499999999</v>
      </c>
      <c r="AM99" s="209">
        <f t="shared" si="77"/>
        <v>168070.32800000001</v>
      </c>
      <c r="AN99" s="209">
        <f t="shared" si="77"/>
        <v>174894.93400000001</v>
      </c>
      <c r="AO99" s="209">
        <f t="shared" si="77"/>
        <v>14299.323</v>
      </c>
      <c r="AP99" s="209">
        <f t="shared" si="77"/>
        <v>29852.74</v>
      </c>
      <c r="AQ99" s="209">
        <f t="shared" si="77"/>
        <v>46255.83</v>
      </c>
      <c r="AR99" s="209">
        <f t="shared" si="77"/>
        <v>61198.33</v>
      </c>
      <c r="AS99" s="209">
        <f t="shared" si="77"/>
        <v>72033.615999999995</v>
      </c>
      <c r="AT99" s="209">
        <f t="shared" si="77"/>
        <v>86318.233999999997</v>
      </c>
      <c r="AU99" s="209">
        <f t="shared" si="77"/>
        <v>100079.704</v>
      </c>
      <c r="AV99" s="209">
        <f t="shared" si="77"/>
        <v>113558.18799999999</v>
      </c>
      <c r="AW99" s="209">
        <f t="shared" si="77"/>
        <v>127949.908</v>
      </c>
      <c r="AX99" s="209">
        <f t="shared" si="77"/>
        <v>142991.37100000001</v>
      </c>
      <c r="AY99" s="209">
        <f t="shared" si="77"/>
        <v>154529.177</v>
      </c>
      <c r="AZ99" s="209">
        <f t="shared" si="77"/>
        <v>161832.34400000001</v>
      </c>
      <c r="BA99" s="209">
        <f t="shared" si="77"/>
        <v>162352.20300000001</v>
      </c>
    </row>
    <row r="100" spans="1:53" s="160" customFormat="1" hidden="1" outlineLevel="1">
      <c r="D100" s="208" t="s">
        <v>17</v>
      </c>
      <c r="E100" s="222">
        <f>E99</f>
        <v>12548.34</v>
      </c>
      <c r="F100" s="222">
        <f>F99</f>
        <v>27182.402999999998</v>
      </c>
      <c r="G100" s="222">
        <f>G99</f>
        <v>44309.19</v>
      </c>
      <c r="H100" s="209">
        <f t="shared" ref="H100:P100" si="79">H99-E99</f>
        <v>46803.566000000006</v>
      </c>
      <c r="I100" s="209">
        <f t="shared" si="79"/>
        <v>-27182.402999999998</v>
      </c>
      <c r="J100" s="209">
        <f t="shared" si="79"/>
        <v>-44309.19</v>
      </c>
      <c r="K100" s="209">
        <f t="shared" si="79"/>
        <v>-59351.906000000003</v>
      </c>
      <c r="L100" s="209">
        <f t="shared" si="79"/>
        <v>0</v>
      </c>
      <c r="M100" s="209">
        <f t="shared" si="79"/>
        <v>0</v>
      </c>
      <c r="N100" s="209">
        <f t="shared" si="79"/>
        <v>0</v>
      </c>
      <c r="O100" s="209">
        <f t="shared" si="79"/>
        <v>0</v>
      </c>
      <c r="P100" s="209">
        <f t="shared" si="79"/>
        <v>0</v>
      </c>
      <c r="Q100" s="209">
        <f>Q99</f>
        <v>12548.34</v>
      </c>
      <c r="R100" s="209">
        <f>R99</f>
        <v>27182.402999999998</v>
      </c>
      <c r="S100" s="209">
        <f>S99</f>
        <v>44309.19</v>
      </c>
      <c r="T100" s="209">
        <f t="shared" ref="T100" si="80">T99-Q99</f>
        <v>47387.259999999995</v>
      </c>
      <c r="U100" s="209">
        <f t="shared" ref="U100" si="81">U99-R99</f>
        <v>47058.546999999999</v>
      </c>
      <c r="V100" s="209">
        <f t="shared" ref="V100" si="82">V99-S99</f>
        <v>47784.630000000005</v>
      </c>
      <c r="W100" s="209">
        <f t="shared" ref="W100" si="83">W99-T99</f>
        <v>47260.780000000006</v>
      </c>
      <c r="X100" s="209">
        <f t="shared" ref="X100" si="84">X99-U99</f>
        <v>47698.769</v>
      </c>
      <c r="Y100" s="209">
        <f t="shared" ref="Y100" si="85">Y99-V99</f>
        <v>46888.128999999986</v>
      </c>
      <c r="Z100" s="209">
        <f t="shared" ref="Z100" si="86">Z99-W99</f>
        <v>48691.668999999994</v>
      </c>
      <c r="AA100" s="209">
        <f t="shared" ref="AA100" si="87">AA99-X99</f>
        <v>46249.64</v>
      </c>
      <c r="AB100" s="209">
        <f t="shared" ref="AB100" si="88">AB99-Y99</f>
        <v>36229.182000000001</v>
      </c>
      <c r="AC100" s="209">
        <f>AC99</f>
        <v>11008.945</v>
      </c>
      <c r="AD100" s="209">
        <f>AD99</f>
        <v>25943.858</v>
      </c>
      <c r="AE100" s="209">
        <f>AE99</f>
        <v>43484.375</v>
      </c>
      <c r="AF100" s="209">
        <f t="shared" ref="AF100" si="89">AF99-AC99</f>
        <v>50748.408000000003</v>
      </c>
      <c r="AG100" s="209">
        <f t="shared" ref="AG100" si="90">AG99-AD99</f>
        <v>50704.386000000006</v>
      </c>
      <c r="AH100" s="209">
        <f t="shared" ref="AH100" si="91">AH99-AE99</f>
        <v>49509.542000000001</v>
      </c>
      <c r="AI100" s="209">
        <f t="shared" ref="AI100" si="92">AI99-AF99</f>
        <v>47553.012000000002</v>
      </c>
      <c r="AJ100" s="209">
        <f t="shared" ref="AJ100" si="93">AJ99-AG99</f>
        <v>46481.870999999999</v>
      </c>
      <c r="AK100" s="209">
        <f t="shared" ref="AK100" si="94">AK99-AH99</f>
        <v>47150.477999999988</v>
      </c>
      <c r="AL100" s="209">
        <f t="shared" ref="AL100" si="95">AL99-AI99</f>
        <v>46378.029999999984</v>
      </c>
      <c r="AM100" s="209">
        <f t="shared" ref="AM100" si="96">AM99-AJ99</f>
        <v>44940.213000000003</v>
      </c>
      <c r="AN100" s="209">
        <f t="shared" ref="AN100" si="97">AN99-AK99</f>
        <v>34750.539000000019</v>
      </c>
      <c r="AO100" s="209">
        <f>AO99</f>
        <v>14299.323</v>
      </c>
      <c r="AP100" s="209">
        <f>AP99</f>
        <v>29852.74</v>
      </c>
      <c r="AQ100" s="209">
        <f>AQ99</f>
        <v>46255.83</v>
      </c>
      <c r="AR100" s="209">
        <f>AR99</f>
        <v>61198.33</v>
      </c>
      <c r="AS100" s="209">
        <f t="shared" ref="AS100" si="98">AS99-AP99</f>
        <v>42180.875999999989</v>
      </c>
      <c r="AT100" s="209">
        <f t="shared" ref="AT100" si="99">AT99-AQ99</f>
        <v>40062.403999999995</v>
      </c>
      <c r="AU100" s="209">
        <f t="shared" ref="AU100" si="100">AU99-AR99</f>
        <v>38881.373999999996</v>
      </c>
      <c r="AV100" s="209">
        <f t="shared" ref="AV100" si="101">AV99-AS99</f>
        <v>41524.572</v>
      </c>
      <c r="AW100" s="209">
        <f t="shared" ref="AW100" si="102">AW99-AT99</f>
        <v>41631.673999999999</v>
      </c>
      <c r="AX100" s="209">
        <f t="shared" ref="AX100" si="103">AX99-AU99</f>
        <v>42911.667000000016</v>
      </c>
      <c r="AY100" s="209">
        <f t="shared" ref="AY100" si="104">AY99-AV99</f>
        <v>40970.989000000001</v>
      </c>
      <c r="AZ100" s="209">
        <f t="shared" ref="AZ100" si="105">AZ99-AW99</f>
        <v>33882.436000000016</v>
      </c>
      <c r="BA100" s="211">
        <f>BA99-AW99</f>
        <v>34402.295000000013</v>
      </c>
    </row>
    <row r="101" spans="1:53" s="225" customFormat="1" hidden="1" outlineLevel="1">
      <c r="A101" s="147"/>
      <c r="B101" s="147"/>
      <c r="C101" s="147">
        <v>1.1499999999999999</v>
      </c>
      <c r="D101" s="203" t="s">
        <v>16</v>
      </c>
      <c r="E101" s="226">
        <f t="shared" ref="E101:BA101" si="106">$C$101</f>
        <v>1.1499999999999999</v>
      </c>
      <c r="F101" s="226">
        <f t="shared" si="106"/>
        <v>1.1499999999999999</v>
      </c>
      <c r="G101" s="226">
        <f t="shared" si="106"/>
        <v>1.1499999999999999</v>
      </c>
      <c r="H101" s="226">
        <f t="shared" si="106"/>
        <v>1.1499999999999999</v>
      </c>
      <c r="I101" s="226">
        <f t="shared" si="106"/>
        <v>1.1499999999999999</v>
      </c>
      <c r="J101" s="226">
        <f t="shared" si="106"/>
        <v>1.1499999999999999</v>
      </c>
      <c r="K101" s="226">
        <f t="shared" si="106"/>
        <v>1.1499999999999999</v>
      </c>
      <c r="L101" s="226">
        <f t="shared" si="106"/>
        <v>1.1499999999999999</v>
      </c>
      <c r="M101" s="226">
        <f t="shared" si="106"/>
        <v>1.1499999999999999</v>
      </c>
      <c r="N101" s="226">
        <f t="shared" si="106"/>
        <v>1.1499999999999999</v>
      </c>
      <c r="O101" s="226">
        <f t="shared" si="106"/>
        <v>1.1499999999999999</v>
      </c>
      <c r="P101" s="226">
        <f t="shared" si="106"/>
        <v>1.1499999999999999</v>
      </c>
      <c r="Q101" s="226">
        <f t="shared" si="106"/>
        <v>1.1499999999999999</v>
      </c>
      <c r="R101" s="226">
        <f t="shared" si="106"/>
        <v>1.1499999999999999</v>
      </c>
      <c r="S101" s="226">
        <f t="shared" si="106"/>
        <v>1.1499999999999999</v>
      </c>
      <c r="T101" s="226">
        <f t="shared" si="106"/>
        <v>1.1499999999999999</v>
      </c>
      <c r="U101" s="226">
        <f t="shared" si="106"/>
        <v>1.1499999999999999</v>
      </c>
      <c r="V101" s="226">
        <f t="shared" si="106"/>
        <v>1.1499999999999999</v>
      </c>
      <c r="W101" s="226">
        <f t="shared" si="106"/>
        <v>1.1499999999999999</v>
      </c>
      <c r="X101" s="226">
        <f t="shared" si="106"/>
        <v>1.1499999999999999</v>
      </c>
      <c r="Y101" s="226">
        <f t="shared" si="106"/>
        <v>1.1499999999999999</v>
      </c>
      <c r="Z101" s="226">
        <f t="shared" si="106"/>
        <v>1.1499999999999999</v>
      </c>
      <c r="AA101" s="226">
        <f t="shared" si="106"/>
        <v>1.1499999999999999</v>
      </c>
      <c r="AB101" s="226">
        <f t="shared" si="106"/>
        <v>1.1499999999999999</v>
      </c>
      <c r="AC101" s="226">
        <f t="shared" si="106"/>
        <v>1.1499999999999999</v>
      </c>
      <c r="AD101" s="226">
        <f t="shared" si="106"/>
        <v>1.1499999999999999</v>
      </c>
      <c r="AE101" s="226">
        <f t="shared" si="106"/>
        <v>1.1499999999999999</v>
      </c>
      <c r="AF101" s="226">
        <f t="shared" si="106"/>
        <v>1.1499999999999999</v>
      </c>
      <c r="AG101" s="226">
        <f t="shared" si="106"/>
        <v>1.1499999999999999</v>
      </c>
      <c r="AH101" s="226">
        <f t="shared" si="106"/>
        <v>1.1499999999999999</v>
      </c>
      <c r="AI101" s="226">
        <f t="shared" si="106"/>
        <v>1.1499999999999999</v>
      </c>
      <c r="AJ101" s="226">
        <f t="shared" si="106"/>
        <v>1.1499999999999999</v>
      </c>
      <c r="AK101" s="226">
        <f t="shared" si="106"/>
        <v>1.1499999999999999</v>
      </c>
      <c r="AL101" s="226">
        <f t="shared" si="106"/>
        <v>1.1499999999999999</v>
      </c>
      <c r="AM101" s="226">
        <f t="shared" si="106"/>
        <v>1.1499999999999999</v>
      </c>
      <c r="AN101" s="226">
        <f t="shared" si="106"/>
        <v>1.1499999999999999</v>
      </c>
      <c r="AO101" s="226">
        <f t="shared" si="106"/>
        <v>1.1499999999999999</v>
      </c>
      <c r="AP101" s="226">
        <f t="shared" si="106"/>
        <v>1.1499999999999999</v>
      </c>
      <c r="AQ101" s="226">
        <f t="shared" si="106"/>
        <v>1.1499999999999999</v>
      </c>
      <c r="AR101" s="226">
        <f t="shared" si="106"/>
        <v>1.1499999999999999</v>
      </c>
      <c r="AS101" s="226">
        <f t="shared" si="106"/>
        <v>1.1499999999999999</v>
      </c>
      <c r="AT101" s="226">
        <f t="shared" si="106"/>
        <v>1.1499999999999999</v>
      </c>
      <c r="AU101" s="226">
        <f t="shared" si="106"/>
        <v>1.1499999999999999</v>
      </c>
      <c r="AV101" s="226">
        <f t="shared" si="106"/>
        <v>1.1499999999999999</v>
      </c>
      <c r="AW101" s="226">
        <f t="shared" si="106"/>
        <v>1.1499999999999999</v>
      </c>
      <c r="AX101" s="226">
        <f t="shared" si="106"/>
        <v>1.1499999999999999</v>
      </c>
      <c r="AY101" s="226">
        <f t="shared" si="106"/>
        <v>1.1499999999999999</v>
      </c>
      <c r="AZ101" s="226">
        <f t="shared" si="106"/>
        <v>1.1499999999999999</v>
      </c>
      <c r="BA101" s="226">
        <f t="shared" si="106"/>
        <v>1.1499999999999999</v>
      </c>
    </row>
    <row r="102" spans="1:53" s="147" customFormat="1" hidden="1" outlineLevel="1">
      <c r="D102" s="208" t="s">
        <v>15</v>
      </c>
      <c r="E102" s="209">
        <f t="shared" ref="E102:AB102" si="107">E99*E101</f>
        <v>14430.590999999999</v>
      </c>
      <c r="F102" s="209">
        <f t="shared" si="107"/>
        <v>31259.763449999995</v>
      </c>
      <c r="G102" s="209">
        <f t="shared" si="107"/>
        <v>50955.568500000001</v>
      </c>
      <c r="H102" s="209">
        <f t="shared" si="107"/>
        <v>68254.691899999991</v>
      </c>
      <c r="I102" s="209">
        <f t="shared" si="107"/>
        <v>0</v>
      </c>
      <c r="J102" s="209">
        <f t="shared" si="107"/>
        <v>0</v>
      </c>
      <c r="K102" s="209">
        <f t="shared" si="107"/>
        <v>0</v>
      </c>
      <c r="L102" s="209">
        <f t="shared" si="107"/>
        <v>0</v>
      </c>
      <c r="M102" s="209">
        <f t="shared" si="107"/>
        <v>0</v>
      </c>
      <c r="N102" s="209">
        <f t="shared" si="107"/>
        <v>0</v>
      </c>
      <c r="O102" s="209">
        <f t="shared" si="107"/>
        <v>0</v>
      </c>
      <c r="P102" s="209">
        <f t="shared" si="107"/>
        <v>0</v>
      </c>
      <c r="Q102" s="210">
        <f t="shared" si="107"/>
        <v>14430.590999999999</v>
      </c>
      <c r="R102" s="210">
        <f t="shared" si="107"/>
        <v>31259.763449999995</v>
      </c>
      <c r="S102" s="210">
        <f t="shared" si="107"/>
        <v>50955.568500000001</v>
      </c>
      <c r="T102" s="210">
        <f t="shared" si="107"/>
        <v>68925.939999999988</v>
      </c>
      <c r="U102" s="210">
        <f t="shared" si="107"/>
        <v>85377.092499999984</v>
      </c>
      <c r="V102" s="210">
        <f t="shared" si="107"/>
        <v>105907.893</v>
      </c>
      <c r="W102" s="210">
        <f t="shared" si="107"/>
        <v>123275.837</v>
      </c>
      <c r="X102" s="210">
        <f t="shared" si="107"/>
        <v>140230.67684999999</v>
      </c>
      <c r="Y102" s="210">
        <f t="shared" si="107"/>
        <v>159829.24134999997</v>
      </c>
      <c r="Z102" s="210">
        <f t="shared" si="107"/>
        <v>179271.25634999998</v>
      </c>
      <c r="AA102" s="210">
        <f t="shared" si="107"/>
        <v>193417.76284999997</v>
      </c>
      <c r="AB102" s="210">
        <f t="shared" si="107"/>
        <v>201492.80064999999</v>
      </c>
      <c r="AC102" s="210">
        <f t="shared" ref="AC102" si="108">AC99*AC101</f>
        <v>12660.286749999999</v>
      </c>
      <c r="AD102" s="210">
        <f t="shared" ref="AD102" si="109">AD99*AD101</f>
        <v>29835.436699999998</v>
      </c>
      <c r="AE102" s="210">
        <f t="shared" ref="AE102" si="110">AE99*AE101</f>
        <v>50007.031249999993</v>
      </c>
      <c r="AF102" s="210">
        <f t="shared" ref="AF102" si="111">AF99*AF101</f>
        <v>71020.955950000003</v>
      </c>
      <c r="AG102" s="210">
        <f t="shared" ref="AG102" si="112">AG99*AG101</f>
        <v>88145.480599999995</v>
      </c>
      <c r="AH102" s="210">
        <f t="shared" ref="AH102" si="113">AH99*AH101</f>
        <v>106943.00455</v>
      </c>
      <c r="AI102" s="210">
        <f t="shared" ref="AI102" si="114">AI99*AI101</f>
        <v>125706.91975</v>
      </c>
      <c r="AJ102" s="210">
        <f t="shared" ref="AJ102" si="115">AJ99*AJ101</f>
        <v>141599.63225</v>
      </c>
      <c r="AK102" s="210">
        <f t="shared" ref="AK102" si="116">AK99*AK101</f>
        <v>161166.05424999999</v>
      </c>
      <c r="AL102" s="210">
        <f t="shared" ref="AL102" si="117">AL99*AL101</f>
        <v>179041.65424999996</v>
      </c>
      <c r="AM102" s="210">
        <f t="shared" ref="AM102" si="118">AM99*AM101</f>
        <v>193280.87719999999</v>
      </c>
      <c r="AN102" s="210">
        <f t="shared" ref="AN102:BA102" si="119">AN99*AN101</f>
        <v>201129.1741</v>
      </c>
      <c r="AO102" s="209">
        <f t="shared" si="119"/>
        <v>16444.221450000001</v>
      </c>
      <c r="AP102" s="209">
        <f t="shared" si="119"/>
        <v>34330.650999999998</v>
      </c>
      <c r="AQ102" s="209">
        <f t="shared" si="119"/>
        <v>53194.2045</v>
      </c>
      <c r="AR102" s="209">
        <f t="shared" si="119"/>
        <v>70378.079499999993</v>
      </c>
      <c r="AS102" s="209">
        <f t="shared" si="119"/>
        <v>82838.658399999986</v>
      </c>
      <c r="AT102" s="209">
        <f t="shared" si="119"/>
        <v>99265.969099999988</v>
      </c>
      <c r="AU102" s="209">
        <f t="shared" si="119"/>
        <v>115091.65959999998</v>
      </c>
      <c r="AV102" s="209">
        <f t="shared" si="119"/>
        <v>130591.91619999998</v>
      </c>
      <c r="AW102" s="209">
        <f t="shared" si="119"/>
        <v>147142.39419999998</v>
      </c>
      <c r="AX102" s="209">
        <f t="shared" si="119"/>
        <v>164440.07665</v>
      </c>
      <c r="AY102" s="209">
        <f t="shared" si="119"/>
        <v>177708.55354999998</v>
      </c>
      <c r="AZ102" s="209">
        <f t="shared" si="119"/>
        <v>186107.19560000001</v>
      </c>
      <c r="BA102" s="210">
        <f t="shared" si="119"/>
        <v>186705.03344999999</v>
      </c>
    </row>
    <row r="103" spans="1:53" s="147" customFormat="1" hidden="1" outlineLevel="1">
      <c r="D103" s="208" t="s">
        <v>14</v>
      </c>
      <c r="E103" s="222">
        <f>E102</f>
        <v>14430.590999999999</v>
      </c>
      <c r="F103" s="222">
        <f>F102</f>
        <v>31259.763449999995</v>
      </c>
      <c r="G103" s="222">
        <f>G102</f>
        <v>50955.568500000001</v>
      </c>
      <c r="H103" s="209">
        <f t="shared" ref="H103:P103" si="120">H102-E102</f>
        <v>53824.10089999999</v>
      </c>
      <c r="I103" s="209">
        <f t="shared" si="120"/>
        <v>-31259.763449999995</v>
      </c>
      <c r="J103" s="209">
        <f t="shared" si="120"/>
        <v>-50955.568500000001</v>
      </c>
      <c r="K103" s="209">
        <f t="shared" si="120"/>
        <v>-68254.691899999991</v>
      </c>
      <c r="L103" s="209">
        <f t="shared" si="120"/>
        <v>0</v>
      </c>
      <c r="M103" s="209">
        <f t="shared" si="120"/>
        <v>0</v>
      </c>
      <c r="N103" s="209">
        <f t="shared" si="120"/>
        <v>0</v>
      </c>
      <c r="O103" s="209">
        <f t="shared" si="120"/>
        <v>0</v>
      </c>
      <c r="P103" s="209">
        <f t="shared" si="120"/>
        <v>0</v>
      </c>
      <c r="Q103" s="209">
        <f>Q102</f>
        <v>14430.590999999999</v>
      </c>
      <c r="R103" s="209">
        <f>R102</f>
        <v>31259.763449999995</v>
      </c>
      <c r="S103" s="209">
        <f>S102</f>
        <v>50955.568500000001</v>
      </c>
      <c r="T103" s="209">
        <f t="shared" ref="T103" si="121">T102-Q102</f>
        <v>54495.348999999987</v>
      </c>
      <c r="U103" s="209">
        <f t="shared" ref="U103" si="122">U102-R102</f>
        <v>54117.329049999986</v>
      </c>
      <c r="V103" s="209">
        <f t="shared" ref="V103" si="123">V102-S102</f>
        <v>54952.324499999995</v>
      </c>
      <c r="W103" s="209">
        <f t="shared" ref="W103" si="124">W102-T102</f>
        <v>54349.897000000012</v>
      </c>
      <c r="X103" s="209">
        <f t="shared" ref="X103" si="125">X102-U102</f>
        <v>54853.584350000005</v>
      </c>
      <c r="Y103" s="209">
        <f t="shared" ref="Y103" si="126">Y102-V102</f>
        <v>53921.348349999971</v>
      </c>
      <c r="Z103" s="209">
        <f t="shared" ref="Z103" si="127">Z102-W102</f>
        <v>55995.419349999982</v>
      </c>
      <c r="AA103" s="209">
        <f t="shared" ref="AA103" si="128">AA102-X102</f>
        <v>53187.085999999981</v>
      </c>
      <c r="AB103" s="209">
        <f t="shared" ref="AB103" si="129">AB102-Y102</f>
        <v>41663.559300000023</v>
      </c>
      <c r="AC103" s="209">
        <f>AC102</f>
        <v>12660.286749999999</v>
      </c>
      <c r="AD103" s="209">
        <f>AD102</f>
        <v>29835.436699999998</v>
      </c>
      <c r="AE103" s="209">
        <f>AE102</f>
        <v>50007.031249999993</v>
      </c>
      <c r="AF103" s="209">
        <f t="shared" ref="AF103" si="130">AF102-AC102</f>
        <v>58360.669200000004</v>
      </c>
      <c r="AG103" s="209">
        <f t="shared" ref="AG103" si="131">AG102-AD102</f>
        <v>58310.043899999997</v>
      </c>
      <c r="AH103" s="209">
        <f t="shared" ref="AH103" si="132">AH102-AE102</f>
        <v>56935.973300000005</v>
      </c>
      <c r="AI103" s="209">
        <f t="shared" ref="AI103" si="133">AI102-AF102</f>
        <v>54685.963799999998</v>
      </c>
      <c r="AJ103" s="209">
        <f t="shared" ref="AJ103" si="134">AJ102-AG102</f>
        <v>53454.15165</v>
      </c>
      <c r="AK103" s="209">
        <f t="shared" ref="AK103" si="135">AK102-AH102</f>
        <v>54223.049699999989</v>
      </c>
      <c r="AL103" s="209">
        <f t="shared" ref="AL103" si="136">AL102-AI102</f>
        <v>53334.734499999962</v>
      </c>
      <c r="AM103" s="209">
        <f t="shared" ref="AM103" si="137">AM102-AJ102</f>
        <v>51681.244949999993</v>
      </c>
      <c r="AN103" s="209">
        <f t="shared" ref="AN103" si="138">AN102-AK102</f>
        <v>39963.119850000017</v>
      </c>
      <c r="AO103" s="209">
        <f>AO102</f>
        <v>16444.221450000001</v>
      </c>
      <c r="AP103" s="209">
        <f>AP102</f>
        <v>34330.650999999998</v>
      </c>
      <c r="AQ103" s="209">
        <f>AQ102</f>
        <v>53194.2045</v>
      </c>
      <c r="AR103" s="209">
        <f>AR102</f>
        <v>70378.079499999993</v>
      </c>
      <c r="AS103" s="209">
        <f t="shared" ref="AS103" si="139">AS102-AP102</f>
        <v>48508.007399999988</v>
      </c>
      <c r="AT103" s="209">
        <f t="shared" ref="AT103" si="140">AT102-AQ102</f>
        <v>46071.764599999988</v>
      </c>
      <c r="AU103" s="209">
        <f t="shared" ref="AU103" si="141">AU102-AR102</f>
        <v>44713.580099999992</v>
      </c>
      <c r="AV103" s="209">
        <f t="shared" ref="AV103" si="142">AV102-AS102</f>
        <v>47753.257799999992</v>
      </c>
      <c r="AW103" s="209">
        <f t="shared" ref="AW103" si="143">AW102-AT102</f>
        <v>47876.425099999993</v>
      </c>
      <c r="AX103" s="209">
        <f t="shared" ref="AX103" si="144">AX102-AU102</f>
        <v>49348.417050000018</v>
      </c>
      <c r="AY103" s="209">
        <f t="shared" ref="AY103" si="145">AY102-AV102</f>
        <v>47116.637350000005</v>
      </c>
      <c r="AZ103" s="209">
        <f t="shared" ref="AZ103" si="146">AZ102-AW102</f>
        <v>38964.801400000026</v>
      </c>
      <c r="BA103" s="211">
        <f>BA102-AW102</f>
        <v>39562.639250000007</v>
      </c>
    </row>
    <row r="104" spans="1:53" s="147" customFormat="1" hidden="1" outlineLevel="1">
      <c r="D104" s="203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BA104" s="204"/>
    </row>
    <row r="105" spans="1:53" s="147" customFormat="1" hidden="1" outlineLevel="1">
      <c r="D105" s="203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BA105" s="204"/>
    </row>
    <row r="106" spans="1:53" s="147" customFormat="1" hidden="1" outlineLevel="1">
      <c r="C106" s="207" t="str">
        <f>_xll.IdPrj.AnalyzerFuncs.AnalyzerOLAPMember("[Account].[Reporting Hierarchy].&amp;[2291]","","R624100 - Freight ( from suppliers' manufact. )","","-524283.-524283.2291","[Account].[Reporting Hierarchy]","000","D1")</f>
        <v>R624100 - Freight ( from suppliers' manufact. )</v>
      </c>
      <c r="D106" s="147" t="str">
        <f>_xll.IdPrj.AnalyzerFuncs.AnalyzerOLAPMember("[Destination].&amp;[0]","","No Destination","","2.2.0","[Destination]","000","D2")</f>
        <v>No Destination</v>
      </c>
      <c r="E106" s="147">
        <v>-62.237000000000002</v>
      </c>
      <c r="F106" s="147">
        <v>-147.13900000000001</v>
      </c>
      <c r="G106" s="147">
        <v>-203.64599999999999</v>
      </c>
      <c r="H106" s="147">
        <v>-289.88900000000001</v>
      </c>
      <c r="Q106" s="204">
        <v>-62.237000000000002</v>
      </c>
      <c r="R106" s="204">
        <v>-147.13900000000001</v>
      </c>
      <c r="S106" s="204">
        <v>-203.64599999999999</v>
      </c>
      <c r="T106" s="204">
        <v>-278.976</v>
      </c>
      <c r="U106" s="204">
        <v>-340.23599999999999</v>
      </c>
      <c r="V106" s="204">
        <v>-408.89600000000002</v>
      </c>
      <c r="W106" s="204">
        <v>-476.92599999999999</v>
      </c>
      <c r="X106" s="204">
        <v>-534.42600000000004</v>
      </c>
      <c r="Y106" s="204">
        <v>-605.58600000000001</v>
      </c>
      <c r="Z106" s="204">
        <v>-670.48599999999999</v>
      </c>
      <c r="AA106" s="204">
        <v>-722.53599999999994</v>
      </c>
      <c r="AB106" s="204">
        <v>-750.53599999999994</v>
      </c>
      <c r="AC106" s="204">
        <v>-54.927</v>
      </c>
      <c r="AD106" s="204">
        <v>-131.40899999999999</v>
      </c>
      <c r="AE106" s="204">
        <v>-211.869</v>
      </c>
      <c r="AF106" s="204">
        <v>-294.03399999999999</v>
      </c>
      <c r="AG106" s="204">
        <v>-356.29599999999999</v>
      </c>
      <c r="AH106" s="204">
        <v>-425.18299999999999</v>
      </c>
      <c r="AI106" s="204">
        <v>-496.59300000000002</v>
      </c>
      <c r="AJ106" s="204">
        <v>-560.16899999999998</v>
      </c>
      <c r="AK106" s="204">
        <v>-639.78099999999995</v>
      </c>
      <c r="AL106" s="204">
        <v>-714.64300000000003</v>
      </c>
      <c r="AM106" s="204">
        <v>-778.54300000000001</v>
      </c>
      <c r="AN106" s="204">
        <v>-813.48800000000006</v>
      </c>
      <c r="AO106" s="147">
        <v>-64.941999999999993</v>
      </c>
      <c r="AP106" s="147">
        <v>-151.649</v>
      </c>
      <c r="AQ106" s="147">
        <v>-241.32499999999999</v>
      </c>
      <c r="AR106" s="147">
        <v>-289.07600000000002</v>
      </c>
      <c r="AS106" s="147">
        <v>-332.45299999999997</v>
      </c>
      <c r="AT106" s="147">
        <v>-384.084</v>
      </c>
      <c r="AU106" s="147">
        <v>-448.596</v>
      </c>
      <c r="AV106" s="147">
        <v>-507.41800000000001</v>
      </c>
      <c r="AW106" s="147">
        <v>-559.45000000000005</v>
      </c>
      <c r="AX106" s="147">
        <v>-635.471</v>
      </c>
      <c r="AY106" s="147">
        <v>-707.38</v>
      </c>
      <c r="AZ106" s="147">
        <v>-749.02700000000004</v>
      </c>
      <c r="BA106" s="204">
        <v>-680.41200000000003</v>
      </c>
    </row>
    <row r="107" spans="1:53" s="147" customFormat="1" hidden="1" outlineLevel="1">
      <c r="C107" s="213" t="str">
        <f>_xll.IdPrj.AnalyzerFuncs.AnalyzerOLAPMember("[Account].[Reporting Hierarchy].&amp;[2271]","","R2000 - Trading : RM Purchase","","-524283.-524283.2271","[Account].[Reporting Hierarchy]","000","D1")</f>
        <v>R2000 - Trading : RM Purchase</v>
      </c>
      <c r="D107" s="147" t="str">
        <f>_xll.IdPrj.AnalyzerFuncs.AnalyzerOLAPMember("[Destination].&amp;[0]","","No Destination","","2.2.0","[Destination]","000","D2")</f>
        <v>No Destination</v>
      </c>
      <c r="E107" s="147">
        <v>-5131.3379999999997</v>
      </c>
      <c r="F107" s="147">
        <v>-10389.385</v>
      </c>
      <c r="G107" s="147">
        <v>-16486.893</v>
      </c>
      <c r="H107" s="147">
        <v>-20271.564999999999</v>
      </c>
      <c r="Q107" s="204">
        <v>-5131.3379999999997</v>
      </c>
      <c r="R107" s="204">
        <v>-10389.385</v>
      </c>
      <c r="S107" s="204">
        <v>-16486.893</v>
      </c>
      <c r="T107" s="204">
        <v>-21806.352999999999</v>
      </c>
      <c r="U107" s="204">
        <v>-26515.5</v>
      </c>
      <c r="V107" s="204">
        <v>-31917.52</v>
      </c>
      <c r="W107" s="204">
        <v>-37685.919999999998</v>
      </c>
      <c r="X107" s="204">
        <v>-41932.269999999997</v>
      </c>
      <c r="Y107" s="204">
        <v>-47247.41</v>
      </c>
      <c r="Z107" s="204">
        <v>-52218.55</v>
      </c>
      <c r="AA107" s="204">
        <v>-55740.59</v>
      </c>
      <c r="AB107" s="204">
        <v>-58469.254000000001</v>
      </c>
      <c r="AC107" s="204">
        <v>-4536.2560000000003</v>
      </c>
      <c r="AD107" s="204">
        <v>-9545.0020000000004</v>
      </c>
      <c r="AE107" s="204">
        <v>-14807.002</v>
      </c>
      <c r="AF107" s="204">
        <v>-20826.481</v>
      </c>
      <c r="AG107" s="204">
        <v>-25640.982</v>
      </c>
      <c r="AH107" s="204">
        <v>-30554.771000000001</v>
      </c>
      <c r="AI107" s="204">
        <v>-36650.894999999997</v>
      </c>
      <c r="AJ107" s="204">
        <v>-40271.502999999997</v>
      </c>
      <c r="AK107" s="204">
        <v>-45500.14</v>
      </c>
      <c r="AL107" s="204">
        <v>-49877.589</v>
      </c>
      <c r="AM107" s="204">
        <v>-53690.726000000002</v>
      </c>
      <c r="AN107" s="204">
        <v>-56136.252</v>
      </c>
      <c r="AO107" s="147">
        <v>-5228.482</v>
      </c>
      <c r="AP107" s="147">
        <v>-9980.3829999999998</v>
      </c>
      <c r="AQ107" s="147">
        <v>-14651.651</v>
      </c>
      <c r="AR107" s="147">
        <v>-18843.972000000002</v>
      </c>
      <c r="AS107" s="147">
        <v>-22531.281999999999</v>
      </c>
      <c r="AT107" s="147">
        <v>-27013.728999999999</v>
      </c>
      <c r="AU107" s="147">
        <v>-33516.959000000003</v>
      </c>
      <c r="AV107" s="147">
        <v>-36549.737999999998</v>
      </c>
      <c r="AW107" s="147">
        <v>-39488.311999999998</v>
      </c>
      <c r="AX107" s="147">
        <v>-43465.57</v>
      </c>
      <c r="AY107" s="147">
        <v>-46634.332999999999</v>
      </c>
      <c r="AZ107" s="147">
        <v>-48274.84</v>
      </c>
      <c r="BA107" s="204">
        <v>-49705.084000000003</v>
      </c>
    </row>
    <row r="108" spans="1:53" s="147" customFormat="1" hidden="1" outlineLevel="1"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I108" s="204"/>
      <c r="AJ108" s="204"/>
      <c r="AK108" s="204"/>
      <c r="AL108" s="204"/>
      <c r="AM108" s="204"/>
      <c r="AN108" s="204"/>
      <c r="BA108" s="204"/>
    </row>
    <row r="109" spans="1:53" s="147" customFormat="1" hidden="1" outlineLevel="1"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4"/>
      <c r="AL109" s="204"/>
      <c r="AM109" s="204"/>
      <c r="AN109" s="204"/>
      <c r="BA109" s="204"/>
    </row>
    <row r="110" spans="1:53" s="147" customFormat="1" hidden="1" outlineLevel="1">
      <c r="B110" s="146"/>
      <c r="C110" s="202" t="str">
        <f>_xll.IdPrj.AnalyzerFuncs.AnalyzerOLAPMember("[Account].[Reporting Hierarchy].&amp;[10373]","","XR6DOP - Other purchased DOP","","-524283.-524283.10373","[Account].[Reporting Hierarchy]","000","D1")</f>
        <v>XR6DOP - Other purchased DOP</v>
      </c>
      <c r="D110" s="147" t="str">
        <f>_xll.IdPrj.AnalyzerFuncs.AnalyzerOLAPMember("[Destination].&amp;[0]","","No Destination","","2.2.0","[Destination]","000","D2")</f>
        <v>No Destination</v>
      </c>
      <c r="E110" s="147">
        <v>-3725.7939999999999</v>
      </c>
      <c r="F110" s="147">
        <v>-8000.1729999999998</v>
      </c>
      <c r="G110" s="147">
        <v>-12738.413</v>
      </c>
      <c r="H110" s="147">
        <v>-17543.037</v>
      </c>
      <c r="Q110" s="204">
        <v>-3725.7939999999999</v>
      </c>
      <c r="R110" s="204">
        <v>-8000.1729999999998</v>
      </c>
      <c r="S110" s="204">
        <v>-12738.413</v>
      </c>
      <c r="T110" s="204">
        <v>-16582.832999999999</v>
      </c>
      <c r="U110" s="204">
        <v>-20332.526000000002</v>
      </c>
      <c r="V110" s="204">
        <v>-24460.739000000001</v>
      </c>
      <c r="W110" s="204">
        <v>-28091.269</v>
      </c>
      <c r="X110" s="204">
        <v>-31938.088</v>
      </c>
      <c r="Y110" s="204">
        <v>-35880</v>
      </c>
      <c r="Z110" s="204">
        <v>-39853.652999999998</v>
      </c>
      <c r="AA110" s="204">
        <v>-42964.173999999999</v>
      </c>
      <c r="AB110" s="204">
        <v>-45249.506000000001</v>
      </c>
      <c r="AC110" s="204">
        <v>-3063.9520000000002</v>
      </c>
      <c r="AD110" s="204">
        <v>-6910.8119999999999</v>
      </c>
      <c r="AE110" s="204">
        <v>-11494.528</v>
      </c>
      <c r="AF110" s="204">
        <v>-15916.387000000001</v>
      </c>
      <c r="AG110" s="204">
        <v>-19563.264999999999</v>
      </c>
      <c r="AH110" s="204">
        <v>-23583.868999999999</v>
      </c>
      <c r="AI110" s="204">
        <v>-27451.637999999999</v>
      </c>
      <c r="AJ110" s="204">
        <v>-31096.191999999999</v>
      </c>
      <c r="AK110" s="204">
        <v>-35205.199000000001</v>
      </c>
      <c r="AL110" s="204">
        <v>-38773.843000000001</v>
      </c>
      <c r="AM110" s="204">
        <v>-41945.184000000001</v>
      </c>
      <c r="AN110" s="204">
        <v>-44224.767999999996</v>
      </c>
      <c r="AO110" s="147">
        <v>-3414.3739999999998</v>
      </c>
      <c r="AP110" s="147">
        <v>-8424.2039999999997</v>
      </c>
      <c r="AQ110" s="147">
        <v>-12197.279</v>
      </c>
      <c r="AR110" s="147">
        <v>-15648.948</v>
      </c>
      <c r="AS110" s="147">
        <v>-18514.941999999999</v>
      </c>
      <c r="AT110" s="147">
        <v>-22287.054</v>
      </c>
      <c r="AU110" s="147">
        <v>-25893.384999999998</v>
      </c>
      <c r="AV110" s="147">
        <v>-29762.821</v>
      </c>
      <c r="AW110" s="147">
        <v>-33402.610999999997</v>
      </c>
      <c r="AX110" s="147">
        <v>-37465.913</v>
      </c>
      <c r="AY110" s="147">
        <v>-41127.472999999998</v>
      </c>
      <c r="AZ110" s="147">
        <v>-43137.534</v>
      </c>
      <c r="BA110" s="204">
        <v>-43380.733999999997</v>
      </c>
    </row>
    <row r="111" spans="1:53" s="147" customFormat="1" hidden="1" outlineLevel="1"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4"/>
      <c r="AL111" s="204"/>
      <c r="AM111" s="204"/>
      <c r="AN111" s="204"/>
      <c r="BA111" s="204"/>
    </row>
    <row r="112" spans="1:53" s="147" customFormat="1" hidden="1" outlineLevel="1"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I112" s="204"/>
      <c r="AJ112" s="204"/>
      <c r="AK112" s="204"/>
      <c r="AL112" s="204"/>
      <c r="AM112" s="204"/>
      <c r="AN112" s="204"/>
      <c r="BA112" s="204"/>
    </row>
    <row r="113" spans="2:60" s="147" customFormat="1" hidden="1" outlineLevel="1"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04"/>
      <c r="AL113" s="204"/>
      <c r="AM113" s="204"/>
      <c r="AN113" s="204"/>
      <c r="BA113" s="204"/>
    </row>
    <row r="114" spans="2:60" s="147" customFormat="1" hidden="1" outlineLevel="1"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  <c r="AK114" s="212"/>
      <c r="AL114" s="212"/>
      <c r="AM114" s="212"/>
      <c r="AN114" s="212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212"/>
      <c r="BB114" s="100"/>
      <c r="BC114" s="100"/>
      <c r="BD114" s="100"/>
      <c r="BE114" s="100"/>
      <c r="BF114" s="100"/>
      <c r="BG114" s="100"/>
    </row>
    <row r="115" spans="2:60" s="146" customFormat="1" hidden="1" outlineLevel="1">
      <c r="D115" s="147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214"/>
      <c r="BB115" s="148"/>
      <c r="BC115" s="148"/>
      <c r="BD115" s="148"/>
      <c r="BE115" s="148"/>
      <c r="BF115" s="148"/>
      <c r="BG115" s="148"/>
    </row>
    <row r="116" spans="2:60" s="146" customFormat="1" hidden="1" outlineLevel="1">
      <c r="C116" s="147"/>
      <c r="D116" s="208" t="s">
        <v>81</v>
      </c>
      <c r="E116" s="209">
        <f t="shared" ref="E116:AB116" si="147">E107-E106+E110</f>
        <v>-8794.8950000000004</v>
      </c>
      <c r="F116" s="209">
        <f t="shared" si="147"/>
        <v>-18242.419000000002</v>
      </c>
      <c r="G116" s="209">
        <f t="shared" si="147"/>
        <v>-29021.66</v>
      </c>
      <c r="H116" s="209">
        <f t="shared" si="147"/>
        <v>-37524.713000000003</v>
      </c>
      <c r="I116" s="209">
        <f t="shared" si="147"/>
        <v>0</v>
      </c>
      <c r="J116" s="209">
        <f t="shared" si="147"/>
        <v>0</v>
      </c>
      <c r="K116" s="209">
        <f t="shared" si="147"/>
        <v>0</v>
      </c>
      <c r="L116" s="209">
        <f t="shared" si="147"/>
        <v>0</v>
      </c>
      <c r="M116" s="209">
        <f t="shared" si="147"/>
        <v>0</v>
      </c>
      <c r="N116" s="209">
        <f t="shared" si="147"/>
        <v>0</v>
      </c>
      <c r="O116" s="209">
        <f t="shared" si="147"/>
        <v>0</v>
      </c>
      <c r="P116" s="209">
        <f t="shared" si="147"/>
        <v>0</v>
      </c>
      <c r="Q116" s="210">
        <f t="shared" si="147"/>
        <v>-8794.8950000000004</v>
      </c>
      <c r="R116" s="210">
        <f t="shared" si="147"/>
        <v>-18242.419000000002</v>
      </c>
      <c r="S116" s="210">
        <f t="shared" si="147"/>
        <v>-29021.66</v>
      </c>
      <c r="T116" s="210">
        <f t="shared" si="147"/>
        <v>-38110.21</v>
      </c>
      <c r="U116" s="210">
        <f t="shared" si="147"/>
        <v>-46507.79</v>
      </c>
      <c r="V116" s="210">
        <f t="shared" si="147"/>
        <v>-55969.362999999998</v>
      </c>
      <c r="W116" s="210">
        <f t="shared" si="147"/>
        <v>-65300.262999999999</v>
      </c>
      <c r="X116" s="210">
        <f t="shared" si="147"/>
        <v>-73335.932000000001</v>
      </c>
      <c r="Y116" s="210">
        <f t="shared" si="147"/>
        <v>-82521.823999999993</v>
      </c>
      <c r="Z116" s="210">
        <f t="shared" si="147"/>
        <v>-91401.717000000004</v>
      </c>
      <c r="AA116" s="210">
        <f t="shared" si="147"/>
        <v>-97982.228000000003</v>
      </c>
      <c r="AB116" s="210">
        <f t="shared" si="147"/>
        <v>-102968.224</v>
      </c>
      <c r="AC116" s="210">
        <f t="shared" ref="AC116:BA116" si="148">AC107-AC106+AC110</f>
        <v>-7545.2810000000009</v>
      </c>
      <c r="AD116" s="210">
        <f t="shared" si="148"/>
        <v>-16324.405000000001</v>
      </c>
      <c r="AE116" s="210">
        <f t="shared" si="148"/>
        <v>-26089.661</v>
      </c>
      <c r="AF116" s="210">
        <f t="shared" si="148"/>
        <v>-36448.834000000003</v>
      </c>
      <c r="AG116" s="210">
        <f t="shared" si="148"/>
        <v>-44847.951000000001</v>
      </c>
      <c r="AH116" s="210">
        <f t="shared" si="148"/>
        <v>-53713.456999999995</v>
      </c>
      <c r="AI116" s="210">
        <f t="shared" si="148"/>
        <v>-63605.939999999995</v>
      </c>
      <c r="AJ116" s="210">
        <f t="shared" si="148"/>
        <v>-70807.525999999998</v>
      </c>
      <c r="AK116" s="210">
        <f t="shared" si="148"/>
        <v>-80065.55799999999</v>
      </c>
      <c r="AL116" s="210">
        <f t="shared" si="148"/>
        <v>-87936.78899999999</v>
      </c>
      <c r="AM116" s="210">
        <f t="shared" si="148"/>
        <v>-94857.366999999998</v>
      </c>
      <c r="AN116" s="210">
        <f t="shared" si="148"/>
        <v>-99547.532000000007</v>
      </c>
      <c r="AO116" s="209">
        <f t="shared" si="148"/>
        <v>-8577.9140000000007</v>
      </c>
      <c r="AP116" s="209">
        <f t="shared" si="148"/>
        <v>-18252.938000000002</v>
      </c>
      <c r="AQ116" s="209">
        <f t="shared" si="148"/>
        <v>-26607.605</v>
      </c>
      <c r="AR116" s="209">
        <f t="shared" si="148"/>
        <v>-34203.843999999997</v>
      </c>
      <c r="AS116" s="209">
        <f t="shared" si="148"/>
        <v>-40713.770999999993</v>
      </c>
      <c r="AT116" s="209">
        <f t="shared" si="148"/>
        <v>-48916.699000000001</v>
      </c>
      <c r="AU116" s="209">
        <f t="shared" si="148"/>
        <v>-58961.748000000007</v>
      </c>
      <c r="AV116" s="209">
        <f t="shared" si="148"/>
        <v>-65805.141000000003</v>
      </c>
      <c r="AW116" s="209">
        <f t="shared" si="148"/>
        <v>-72331.472999999998</v>
      </c>
      <c r="AX116" s="209">
        <f t="shared" si="148"/>
        <v>-80296.012000000002</v>
      </c>
      <c r="AY116" s="209">
        <f t="shared" si="148"/>
        <v>-87054.426000000007</v>
      </c>
      <c r="AZ116" s="209">
        <f t="shared" si="148"/>
        <v>-90663.346999999994</v>
      </c>
      <c r="BA116" s="210">
        <f t="shared" si="148"/>
        <v>-92405.406000000003</v>
      </c>
      <c r="BB116" s="148"/>
      <c r="BC116" s="148"/>
      <c r="BD116" s="148"/>
      <c r="BE116" s="148"/>
      <c r="BF116" s="148"/>
      <c r="BG116" s="148"/>
    </row>
    <row r="117" spans="2:60" s="146" customFormat="1" hidden="1" outlineLevel="1">
      <c r="C117" s="147"/>
      <c r="D117" s="208" t="s">
        <v>80</v>
      </c>
      <c r="E117" s="222">
        <f>E116</f>
        <v>-8794.8950000000004</v>
      </c>
      <c r="F117" s="222">
        <f>F116</f>
        <v>-18242.419000000002</v>
      </c>
      <c r="G117" s="222">
        <f>G116</f>
        <v>-29021.66</v>
      </c>
      <c r="H117" s="209">
        <f t="shared" ref="H117:P117" si="149">H116-E116</f>
        <v>-28729.818000000003</v>
      </c>
      <c r="I117" s="209">
        <f t="shared" si="149"/>
        <v>18242.419000000002</v>
      </c>
      <c r="J117" s="209">
        <f t="shared" si="149"/>
        <v>29021.66</v>
      </c>
      <c r="K117" s="209">
        <f t="shared" si="149"/>
        <v>37524.713000000003</v>
      </c>
      <c r="L117" s="209">
        <f t="shared" si="149"/>
        <v>0</v>
      </c>
      <c r="M117" s="209">
        <f t="shared" si="149"/>
        <v>0</v>
      </c>
      <c r="N117" s="209">
        <f t="shared" si="149"/>
        <v>0</v>
      </c>
      <c r="O117" s="209">
        <f t="shared" si="149"/>
        <v>0</v>
      </c>
      <c r="P117" s="209">
        <f t="shared" si="149"/>
        <v>0</v>
      </c>
      <c r="Q117" s="209">
        <f>Q116</f>
        <v>-8794.8950000000004</v>
      </c>
      <c r="R117" s="209">
        <f>R116</f>
        <v>-18242.419000000002</v>
      </c>
      <c r="S117" s="209">
        <f>S116</f>
        <v>-29021.66</v>
      </c>
      <c r="T117" s="209">
        <f t="shared" ref="T117" si="150">T116-Q116</f>
        <v>-29315.314999999999</v>
      </c>
      <c r="U117" s="209">
        <f t="shared" ref="U117" si="151">U116-R116</f>
        <v>-28265.370999999999</v>
      </c>
      <c r="V117" s="209">
        <f t="shared" ref="V117" si="152">V116-S116</f>
        <v>-26947.702999999998</v>
      </c>
      <c r="W117" s="209">
        <f t="shared" ref="W117" si="153">W116-T116</f>
        <v>-27190.053</v>
      </c>
      <c r="X117" s="209">
        <f t="shared" ref="X117" si="154">X116-U116</f>
        <v>-26828.142</v>
      </c>
      <c r="Y117" s="209">
        <f t="shared" ref="Y117" si="155">Y116-V116</f>
        <v>-26552.460999999996</v>
      </c>
      <c r="Z117" s="209">
        <f t="shared" ref="Z117" si="156">Z116-W116</f>
        <v>-26101.454000000005</v>
      </c>
      <c r="AA117" s="209">
        <f t="shared" ref="AA117" si="157">AA116-X116</f>
        <v>-24646.296000000002</v>
      </c>
      <c r="AB117" s="209">
        <f t="shared" ref="AB117" si="158">AB116-Y116</f>
        <v>-20446.400000000009</v>
      </c>
      <c r="AC117" s="209">
        <f>AC116</f>
        <v>-7545.2810000000009</v>
      </c>
      <c r="AD117" s="209">
        <f>AD116</f>
        <v>-16324.405000000001</v>
      </c>
      <c r="AE117" s="209">
        <f>AE116</f>
        <v>-26089.661</v>
      </c>
      <c r="AF117" s="209">
        <f t="shared" ref="AF117" si="159">AF116-AC116</f>
        <v>-28903.553</v>
      </c>
      <c r="AG117" s="209">
        <f t="shared" ref="AG117" si="160">AG116-AD116</f>
        <v>-28523.546000000002</v>
      </c>
      <c r="AH117" s="209">
        <f t="shared" ref="AH117" si="161">AH116-AE116</f>
        <v>-27623.795999999995</v>
      </c>
      <c r="AI117" s="209">
        <f t="shared" ref="AI117" si="162">AI116-AF116</f>
        <v>-27157.105999999992</v>
      </c>
      <c r="AJ117" s="209">
        <f t="shared" ref="AJ117" si="163">AJ116-AG116</f>
        <v>-25959.574999999997</v>
      </c>
      <c r="AK117" s="209">
        <f t="shared" ref="AK117" si="164">AK116-AH116</f>
        <v>-26352.100999999995</v>
      </c>
      <c r="AL117" s="209">
        <f t="shared" ref="AL117" si="165">AL116-AI116</f>
        <v>-24330.848999999995</v>
      </c>
      <c r="AM117" s="209">
        <f t="shared" ref="AM117" si="166">AM116-AJ116</f>
        <v>-24049.841</v>
      </c>
      <c r="AN117" s="209">
        <f t="shared" ref="AN117" si="167">AN116-AK116</f>
        <v>-19481.974000000017</v>
      </c>
      <c r="AO117" s="209">
        <f>AO116</f>
        <v>-8577.9140000000007</v>
      </c>
      <c r="AP117" s="209">
        <f>AP116</f>
        <v>-18252.938000000002</v>
      </c>
      <c r="AQ117" s="209">
        <f>AQ116</f>
        <v>-26607.605</v>
      </c>
      <c r="AR117" s="209">
        <f>AR116</f>
        <v>-34203.843999999997</v>
      </c>
      <c r="AS117" s="209">
        <f t="shared" ref="AS117" si="168">AS116-AP116</f>
        <v>-22460.832999999991</v>
      </c>
      <c r="AT117" s="209">
        <f t="shared" ref="AT117" si="169">AT116-AQ116</f>
        <v>-22309.094000000001</v>
      </c>
      <c r="AU117" s="209">
        <f t="shared" ref="AU117" si="170">AU116-AR116</f>
        <v>-24757.90400000001</v>
      </c>
      <c r="AV117" s="209">
        <f t="shared" ref="AV117" si="171">AV116-AS116</f>
        <v>-25091.37000000001</v>
      </c>
      <c r="AW117" s="209">
        <f t="shared" ref="AW117" si="172">AW116-AT116</f>
        <v>-23414.773999999998</v>
      </c>
      <c r="AX117" s="209">
        <f t="shared" ref="AX117" si="173">AX116-AU116</f>
        <v>-21334.263999999996</v>
      </c>
      <c r="AY117" s="209">
        <f t="shared" ref="AY117" si="174">AY116-AV116</f>
        <v>-21249.285000000003</v>
      </c>
      <c r="AZ117" s="209">
        <f t="shared" ref="AZ117" si="175">AZ116-AW116</f>
        <v>-18331.873999999996</v>
      </c>
      <c r="BA117" s="211">
        <f>BA116-AW116</f>
        <v>-20073.933000000005</v>
      </c>
      <c r="BB117" s="100"/>
      <c r="BC117" s="100"/>
      <c r="BD117" s="100"/>
      <c r="BE117" s="100"/>
      <c r="BF117" s="100"/>
      <c r="BG117" s="100"/>
    </row>
    <row r="118" spans="2:60" s="146" customFormat="1" hidden="1" outlineLevel="1">
      <c r="C118" s="147">
        <v>1.1499999999999999</v>
      </c>
      <c r="D118" s="203" t="s">
        <v>16</v>
      </c>
      <c r="E118" s="223">
        <f t="shared" ref="E118:BA118" si="176">$C$118</f>
        <v>1.1499999999999999</v>
      </c>
      <c r="F118" s="223">
        <f t="shared" si="176"/>
        <v>1.1499999999999999</v>
      </c>
      <c r="G118" s="224">
        <f t="shared" si="176"/>
        <v>1.1499999999999999</v>
      </c>
      <c r="H118" s="224">
        <f t="shared" si="176"/>
        <v>1.1499999999999999</v>
      </c>
      <c r="I118" s="224">
        <f t="shared" si="176"/>
        <v>1.1499999999999999</v>
      </c>
      <c r="J118" s="224">
        <f t="shared" si="176"/>
        <v>1.1499999999999999</v>
      </c>
      <c r="K118" s="224">
        <f t="shared" si="176"/>
        <v>1.1499999999999999</v>
      </c>
      <c r="L118" s="224">
        <f t="shared" si="176"/>
        <v>1.1499999999999999</v>
      </c>
      <c r="M118" s="224">
        <f t="shared" si="176"/>
        <v>1.1499999999999999</v>
      </c>
      <c r="N118" s="224">
        <f t="shared" si="176"/>
        <v>1.1499999999999999</v>
      </c>
      <c r="O118" s="224">
        <f t="shared" si="176"/>
        <v>1.1499999999999999</v>
      </c>
      <c r="P118" s="224">
        <f t="shared" si="176"/>
        <v>1.1499999999999999</v>
      </c>
      <c r="Q118" s="224">
        <f t="shared" si="176"/>
        <v>1.1499999999999999</v>
      </c>
      <c r="R118" s="224">
        <f t="shared" si="176"/>
        <v>1.1499999999999999</v>
      </c>
      <c r="S118" s="224">
        <f t="shared" si="176"/>
        <v>1.1499999999999999</v>
      </c>
      <c r="T118" s="224">
        <f t="shared" si="176"/>
        <v>1.1499999999999999</v>
      </c>
      <c r="U118" s="224">
        <f t="shared" si="176"/>
        <v>1.1499999999999999</v>
      </c>
      <c r="V118" s="224">
        <f t="shared" si="176"/>
        <v>1.1499999999999999</v>
      </c>
      <c r="W118" s="224">
        <f t="shared" si="176"/>
        <v>1.1499999999999999</v>
      </c>
      <c r="X118" s="224">
        <f t="shared" si="176"/>
        <v>1.1499999999999999</v>
      </c>
      <c r="Y118" s="224">
        <f t="shared" si="176"/>
        <v>1.1499999999999999</v>
      </c>
      <c r="Z118" s="224">
        <f t="shared" si="176"/>
        <v>1.1499999999999999</v>
      </c>
      <c r="AA118" s="224">
        <f t="shared" si="176"/>
        <v>1.1499999999999999</v>
      </c>
      <c r="AB118" s="224">
        <f t="shared" si="176"/>
        <v>1.1499999999999999</v>
      </c>
      <c r="AC118" s="224">
        <f t="shared" si="176"/>
        <v>1.1499999999999999</v>
      </c>
      <c r="AD118" s="224">
        <f t="shared" si="176"/>
        <v>1.1499999999999999</v>
      </c>
      <c r="AE118" s="224">
        <f t="shared" si="176"/>
        <v>1.1499999999999999</v>
      </c>
      <c r="AF118" s="224">
        <f t="shared" si="176"/>
        <v>1.1499999999999999</v>
      </c>
      <c r="AG118" s="224">
        <f t="shared" si="176"/>
        <v>1.1499999999999999</v>
      </c>
      <c r="AH118" s="224">
        <f t="shared" si="176"/>
        <v>1.1499999999999999</v>
      </c>
      <c r="AI118" s="224">
        <f t="shared" si="176"/>
        <v>1.1499999999999999</v>
      </c>
      <c r="AJ118" s="224">
        <f t="shared" si="176"/>
        <v>1.1499999999999999</v>
      </c>
      <c r="AK118" s="224">
        <f t="shared" si="176"/>
        <v>1.1499999999999999</v>
      </c>
      <c r="AL118" s="224">
        <f t="shared" si="176"/>
        <v>1.1499999999999999</v>
      </c>
      <c r="AM118" s="224">
        <f t="shared" si="176"/>
        <v>1.1499999999999999</v>
      </c>
      <c r="AN118" s="224">
        <f t="shared" si="176"/>
        <v>1.1499999999999999</v>
      </c>
      <c r="AO118" s="223">
        <f t="shared" si="176"/>
        <v>1.1499999999999999</v>
      </c>
      <c r="AP118" s="223">
        <f t="shared" si="176"/>
        <v>1.1499999999999999</v>
      </c>
      <c r="AQ118" s="224">
        <f t="shared" si="176"/>
        <v>1.1499999999999999</v>
      </c>
      <c r="AR118" s="224">
        <f t="shared" si="176"/>
        <v>1.1499999999999999</v>
      </c>
      <c r="AS118" s="224">
        <f t="shared" si="176"/>
        <v>1.1499999999999999</v>
      </c>
      <c r="AT118" s="224">
        <f t="shared" si="176"/>
        <v>1.1499999999999999</v>
      </c>
      <c r="AU118" s="224">
        <f t="shared" si="176"/>
        <v>1.1499999999999999</v>
      </c>
      <c r="AV118" s="224">
        <f t="shared" si="176"/>
        <v>1.1499999999999999</v>
      </c>
      <c r="AW118" s="224">
        <f t="shared" si="176"/>
        <v>1.1499999999999999</v>
      </c>
      <c r="AX118" s="224">
        <f t="shared" si="176"/>
        <v>1.1499999999999999</v>
      </c>
      <c r="AY118" s="224">
        <f t="shared" si="176"/>
        <v>1.1499999999999999</v>
      </c>
      <c r="AZ118" s="224">
        <f t="shared" si="176"/>
        <v>1.1499999999999999</v>
      </c>
      <c r="BA118" s="224">
        <f t="shared" si="176"/>
        <v>1.1499999999999999</v>
      </c>
      <c r="BB118" s="224"/>
      <c r="BC118" s="224"/>
      <c r="BD118" s="224"/>
      <c r="BE118" s="224"/>
      <c r="BF118" s="224"/>
      <c r="BG118" s="224"/>
      <c r="BH118" s="223"/>
    </row>
    <row r="119" spans="2:60" s="146" customFormat="1" hidden="1" outlineLevel="1">
      <c r="C119" s="147"/>
      <c r="D119" s="208" t="s">
        <v>79</v>
      </c>
      <c r="E119" s="209">
        <f t="shared" ref="E119:AB119" si="177">E116*E118</f>
        <v>-10114.12925</v>
      </c>
      <c r="F119" s="209">
        <f t="shared" si="177"/>
        <v>-20978.781849999999</v>
      </c>
      <c r="G119" s="209">
        <f t="shared" si="177"/>
        <v>-33374.909</v>
      </c>
      <c r="H119" s="209">
        <f t="shared" si="177"/>
        <v>-43153.419950000003</v>
      </c>
      <c r="I119" s="209">
        <f t="shared" si="177"/>
        <v>0</v>
      </c>
      <c r="J119" s="209">
        <f t="shared" si="177"/>
        <v>0</v>
      </c>
      <c r="K119" s="209">
        <f t="shared" si="177"/>
        <v>0</v>
      </c>
      <c r="L119" s="209">
        <f t="shared" si="177"/>
        <v>0</v>
      </c>
      <c r="M119" s="209">
        <f t="shared" si="177"/>
        <v>0</v>
      </c>
      <c r="N119" s="209">
        <f t="shared" si="177"/>
        <v>0</v>
      </c>
      <c r="O119" s="209">
        <f t="shared" si="177"/>
        <v>0</v>
      </c>
      <c r="P119" s="209">
        <f t="shared" si="177"/>
        <v>0</v>
      </c>
      <c r="Q119" s="210">
        <f t="shared" si="177"/>
        <v>-10114.12925</v>
      </c>
      <c r="R119" s="210">
        <f t="shared" si="177"/>
        <v>-20978.781849999999</v>
      </c>
      <c r="S119" s="210">
        <f t="shared" si="177"/>
        <v>-33374.909</v>
      </c>
      <c r="T119" s="210">
        <f t="shared" si="177"/>
        <v>-43826.741499999996</v>
      </c>
      <c r="U119" s="210">
        <f t="shared" si="177"/>
        <v>-53483.958499999993</v>
      </c>
      <c r="V119" s="210">
        <f t="shared" si="177"/>
        <v>-64364.767449999992</v>
      </c>
      <c r="W119" s="210">
        <f t="shared" si="177"/>
        <v>-75095.302449999988</v>
      </c>
      <c r="X119" s="210">
        <f t="shared" si="177"/>
        <v>-84336.321799999991</v>
      </c>
      <c r="Y119" s="210">
        <f t="shared" si="177"/>
        <v>-94900.097599999979</v>
      </c>
      <c r="Z119" s="210">
        <f t="shared" si="177"/>
        <v>-105111.97455</v>
      </c>
      <c r="AA119" s="210">
        <f t="shared" si="177"/>
        <v>-112679.5622</v>
      </c>
      <c r="AB119" s="210">
        <f t="shared" si="177"/>
        <v>-118413.45759999999</v>
      </c>
      <c r="AC119" s="210">
        <f t="shared" ref="AC119" si="178">AC116*AC118</f>
        <v>-8677.0731500000002</v>
      </c>
      <c r="AD119" s="210">
        <f t="shared" ref="AD119" si="179">AD116*AD118</f>
        <v>-18773.065749999998</v>
      </c>
      <c r="AE119" s="210">
        <f t="shared" ref="AE119" si="180">AE116*AE118</f>
        <v>-30003.110149999997</v>
      </c>
      <c r="AF119" s="210">
        <f t="shared" ref="AF119" si="181">AF116*AF118</f>
        <v>-41916.159099999997</v>
      </c>
      <c r="AG119" s="210">
        <f t="shared" ref="AG119" si="182">AG116*AG118</f>
        <v>-51575.143649999998</v>
      </c>
      <c r="AH119" s="210">
        <f t="shared" ref="AH119" si="183">AH116*AH118</f>
        <v>-61770.475549999988</v>
      </c>
      <c r="AI119" s="210">
        <f t="shared" ref="AI119" si="184">AI116*AI118</f>
        <v>-73146.830999999991</v>
      </c>
      <c r="AJ119" s="210">
        <f t="shared" ref="AJ119" si="185">AJ116*AJ118</f>
        <v>-81428.654899999994</v>
      </c>
      <c r="AK119" s="210">
        <f t="shared" ref="AK119" si="186">AK116*AK118</f>
        <v>-92075.391699999978</v>
      </c>
      <c r="AL119" s="210">
        <f t="shared" ref="AL119" si="187">AL116*AL118</f>
        <v>-101127.30734999997</v>
      </c>
      <c r="AM119" s="210">
        <f t="shared" ref="AM119" si="188">AM116*AM118</f>
        <v>-109085.97205</v>
      </c>
      <c r="AN119" s="210">
        <f t="shared" ref="AN119:BA119" si="189">AN116*AN118</f>
        <v>-114479.6618</v>
      </c>
      <c r="AO119" s="209">
        <f t="shared" si="189"/>
        <v>-9864.6010999999999</v>
      </c>
      <c r="AP119" s="209">
        <f t="shared" si="189"/>
        <v>-20990.878700000001</v>
      </c>
      <c r="AQ119" s="209">
        <f t="shared" si="189"/>
        <v>-30598.745749999998</v>
      </c>
      <c r="AR119" s="209">
        <f t="shared" si="189"/>
        <v>-39334.42059999999</v>
      </c>
      <c r="AS119" s="209">
        <f t="shared" si="189"/>
        <v>-46820.83664999999</v>
      </c>
      <c r="AT119" s="209">
        <f t="shared" si="189"/>
        <v>-56254.203849999998</v>
      </c>
      <c r="AU119" s="209">
        <f t="shared" si="189"/>
        <v>-67806.010200000004</v>
      </c>
      <c r="AV119" s="209">
        <f t="shared" si="189"/>
        <v>-75675.912150000004</v>
      </c>
      <c r="AW119" s="209">
        <f t="shared" si="189"/>
        <v>-83181.193949999986</v>
      </c>
      <c r="AX119" s="209">
        <f t="shared" si="189"/>
        <v>-92340.413799999995</v>
      </c>
      <c r="AY119" s="209">
        <f t="shared" si="189"/>
        <v>-100112.58990000001</v>
      </c>
      <c r="AZ119" s="209">
        <f t="shared" si="189"/>
        <v>-104262.84904999999</v>
      </c>
      <c r="BA119" s="210">
        <f t="shared" si="189"/>
        <v>-106266.2169</v>
      </c>
      <c r="BB119" s="148"/>
      <c r="BC119" s="148"/>
      <c r="BD119" s="148"/>
      <c r="BE119" s="148"/>
      <c r="BF119" s="148"/>
      <c r="BG119" s="148"/>
    </row>
    <row r="120" spans="2:60" s="146" customFormat="1" hidden="1" outlineLevel="1">
      <c r="C120" s="147"/>
      <c r="D120" s="208" t="s">
        <v>78</v>
      </c>
      <c r="E120" s="222">
        <f>E119</f>
        <v>-10114.12925</v>
      </c>
      <c r="F120" s="222">
        <f>F119</f>
        <v>-20978.781849999999</v>
      </c>
      <c r="G120" s="222">
        <f>G119</f>
        <v>-33374.909</v>
      </c>
      <c r="H120" s="209">
        <f t="shared" ref="H120:P120" si="190">H119-E119</f>
        <v>-33039.290700000005</v>
      </c>
      <c r="I120" s="209">
        <f t="shared" si="190"/>
        <v>20978.781849999999</v>
      </c>
      <c r="J120" s="209">
        <f t="shared" si="190"/>
        <v>33374.909</v>
      </c>
      <c r="K120" s="209">
        <f t="shared" si="190"/>
        <v>43153.419950000003</v>
      </c>
      <c r="L120" s="209">
        <f t="shared" si="190"/>
        <v>0</v>
      </c>
      <c r="M120" s="209">
        <f t="shared" si="190"/>
        <v>0</v>
      </c>
      <c r="N120" s="209">
        <f t="shared" si="190"/>
        <v>0</v>
      </c>
      <c r="O120" s="209">
        <f t="shared" si="190"/>
        <v>0</v>
      </c>
      <c r="P120" s="209">
        <f t="shared" si="190"/>
        <v>0</v>
      </c>
      <c r="Q120" s="209">
        <f>Q119</f>
        <v>-10114.12925</v>
      </c>
      <c r="R120" s="209">
        <f>R119</f>
        <v>-20978.781849999999</v>
      </c>
      <c r="S120" s="209">
        <f>S119</f>
        <v>-33374.909</v>
      </c>
      <c r="T120" s="209">
        <f t="shared" ref="T120" si="191">T119-Q119</f>
        <v>-33712.612249999998</v>
      </c>
      <c r="U120" s="209">
        <f t="shared" ref="U120" si="192">U119-R119</f>
        <v>-32505.176649999994</v>
      </c>
      <c r="V120" s="209">
        <f t="shared" ref="V120" si="193">V119-S119</f>
        <v>-30989.858449999992</v>
      </c>
      <c r="W120" s="209">
        <f t="shared" ref="W120" si="194">W119-T119</f>
        <v>-31268.560949999992</v>
      </c>
      <c r="X120" s="209">
        <f t="shared" ref="X120" si="195">X119-U119</f>
        <v>-30852.363299999997</v>
      </c>
      <c r="Y120" s="209">
        <f t="shared" ref="Y120" si="196">Y119-V119</f>
        <v>-30535.330149999987</v>
      </c>
      <c r="Z120" s="209">
        <f t="shared" ref="Z120" si="197">Z119-W119</f>
        <v>-30016.672100000011</v>
      </c>
      <c r="AA120" s="209">
        <f t="shared" ref="AA120" si="198">AA119-X119</f>
        <v>-28343.24040000001</v>
      </c>
      <c r="AB120" s="209">
        <f t="shared" ref="AB120" si="199">AB119-Y119</f>
        <v>-23513.360000000015</v>
      </c>
      <c r="AC120" s="209">
        <f>AC119</f>
        <v>-8677.0731500000002</v>
      </c>
      <c r="AD120" s="209">
        <f>AD119</f>
        <v>-18773.065749999998</v>
      </c>
      <c r="AE120" s="209">
        <f>AE119</f>
        <v>-30003.110149999997</v>
      </c>
      <c r="AF120" s="209">
        <f t="shared" ref="AF120" si="200">AF119-AC119</f>
        <v>-33239.085949999993</v>
      </c>
      <c r="AG120" s="209">
        <f t="shared" ref="AG120" si="201">AG119-AD119</f>
        <v>-32802.077900000004</v>
      </c>
      <c r="AH120" s="209">
        <f t="shared" ref="AH120" si="202">AH119-AE119</f>
        <v>-31767.365399999991</v>
      </c>
      <c r="AI120" s="209">
        <f t="shared" ref="AI120" si="203">AI119-AF119</f>
        <v>-31230.671899999994</v>
      </c>
      <c r="AJ120" s="209">
        <f t="shared" ref="AJ120" si="204">AJ119-AG119</f>
        <v>-29853.511249999996</v>
      </c>
      <c r="AK120" s="209">
        <f t="shared" ref="AK120" si="205">AK119-AH119</f>
        <v>-30304.91614999999</v>
      </c>
      <c r="AL120" s="209">
        <f t="shared" ref="AL120" si="206">AL119-AI119</f>
        <v>-27980.476349999983</v>
      </c>
      <c r="AM120" s="209">
        <f t="shared" ref="AM120" si="207">AM119-AJ119</f>
        <v>-27657.317150000003</v>
      </c>
      <c r="AN120" s="209">
        <f t="shared" ref="AN120" si="208">AN119-AK119</f>
        <v>-22404.270100000023</v>
      </c>
      <c r="AO120" s="209">
        <f>AO119</f>
        <v>-9864.6010999999999</v>
      </c>
      <c r="AP120" s="209">
        <f>AP119</f>
        <v>-20990.878700000001</v>
      </c>
      <c r="AQ120" s="209">
        <f>AQ119</f>
        <v>-30598.745749999998</v>
      </c>
      <c r="AR120" s="209">
        <f>AR119</f>
        <v>-39334.42059999999</v>
      </c>
      <c r="AS120" s="209">
        <f t="shared" ref="AS120" si="209">AS119-AP119</f>
        <v>-25829.957949999989</v>
      </c>
      <c r="AT120" s="209">
        <f t="shared" ref="AT120" si="210">AT119-AQ119</f>
        <v>-25655.4581</v>
      </c>
      <c r="AU120" s="209">
        <f t="shared" ref="AU120" si="211">AU119-AR119</f>
        <v>-28471.589600000014</v>
      </c>
      <c r="AV120" s="209">
        <f t="shared" ref="AV120" si="212">AV119-AS119</f>
        <v>-28855.075500000014</v>
      </c>
      <c r="AW120" s="209">
        <f t="shared" ref="AW120" si="213">AW119-AT119</f>
        <v>-26926.990099999988</v>
      </c>
      <c r="AX120" s="209">
        <f t="shared" ref="AX120" si="214">AX119-AU119</f>
        <v>-24534.403599999991</v>
      </c>
      <c r="AY120" s="209">
        <f t="shared" ref="AY120" si="215">AY119-AV119</f>
        <v>-24436.677750000003</v>
      </c>
      <c r="AZ120" s="209">
        <f t="shared" ref="AZ120" si="216">AZ119-AW119</f>
        <v>-21081.655100000004</v>
      </c>
      <c r="BA120" s="211">
        <f>BA119-AW119</f>
        <v>-23085.022950000013</v>
      </c>
      <c r="BB120" s="100"/>
      <c r="BC120" s="100"/>
      <c r="BD120" s="100"/>
      <c r="BE120" s="100"/>
      <c r="BF120" s="100"/>
      <c r="BG120" s="100"/>
    </row>
    <row r="121" spans="2:60" s="146" customFormat="1" hidden="1" outlineLevel="1">
      <c r="D121" s="215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BA121" s="216"/>
    </row>
    <row r="122" spans="2:60" s="146" customFormat="1" hidden="1" outlineLevel="1">
      <c r="D122" s="215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BA122" s="216"/>
    </row>
    <row r="123" spans="2:60" s="147" customFormat="1" hidden="1" outlineLevel="1">
      <c r="C123" s="218" t="str">
        <f>_xll.IdPrj.AnalyzerFuncs.AnalyzerOLAPMember("[Account].[Reporting Hierarchy].&amp;[949]","","A418100 - Customers Accrued Invoices","","-524283.-524283.949","[Account].[Reporting Hierarchy]","000","D1")</f>
        <v>A418100 - Customers Accrued Invoices</v>
      </c>
      <c r="D123" s="203" t="str">
        <f>_xll.IdPrj.AnalyzerFuncs.AnalyzerOLAPMember("[Destination].&amp;[0]","","No Destination","","2.2.0","[Destination]","000","D2")</f>
        <v>No Destination</v>
      </c>
      <c r="E123" s="205">
        <v>1939.6690000000001</v>
      </c>
      <c r="F123" s="147">
        <v>2428.7550000000001</v>
      </c>
      <c r="G123" s="147">
        <v>3455.8130000000001</v>
      </c>
      <c r="H123" s="147">
        <v>2299.7840000000001</v>
      </c>
      <c r="Q123" s="204">
        <v>1939.6690000000001</v>
      </c>
      <c r="R123" s="204">
        <v>2428.7550000000001</v>
      </c>
      <c r="S123" s="204">
        <v>3455.8130000000001</v>
      </c>
      <c r="T123" s="204">
        <v>2090</v>
      </c>
      <c r="U123" s="204">
        <v>2050</v>
      </c>
      <c r="V123" s="204">
        <v>2050</v>
      </c>
      <c r="W123" s="204">
        <v>2080</v>
      </c>
      <c r="X123" s="204">
        <v>2110</v>
      </c>
      <c r="Y123" s="204">
        <v>2050</v>
      </c>
      <c r="Z123" s="204">
        <v>2030</v>
      </c>
      <c r="AA123" s="204">
        <v>1940</v>
      </c>
      <c r="AB123" s="204">
        <v>1700</v>
      </c>
      <c r="AC123" s="204">
        <v>1810</v>
      </c>
      <c r="AD123" s="204">
        <v>1835</v>
      </c>
      <c r="AE123" s="204">
        <v>2080</v>
      </c>
      <c r="AF123" s="204">
        <v>2180</v>
      </c>
      <c r="AG123" s="204">
        <v>2140</v>
      </c>
      <c r="AH123" s="204">
        <v>2140</v>
      </c>
      <c r="AI123" s="204">
        <v>2170</v>
      </c>
      <c r="AJ123" s="204">
        <v>2200</v>
      </c>
      <c r="AK123" s="204">
        <v>2140</v>
      </c>
      <c r="AL123" s="204">
        <v>2120</v>
      </c>
      <c r="AM123" s="204">
        <v>2030</v>
      </c>
      <c r="AN123" s="204">
        <v>1790</v>
      </c>
      <c r="AO123" s="205">
        <v>0</v>
      </c>
      <c r="AP123" s="147">
        <v>2178.8960000000002</v>
      </c>
      <c r="AQ123" s="147">
        <v>1431.6469999999999</v>
      </c>
      <c r="AR123" s="147">
        <v>1700.885</v>
      </c>
      <c r="AS123" s="147">
        <v>1357.557</v>
      </c>
      <c r="AT123" s="147">
        <v>1805.854</v>
      </c>
      <c r="AU123" s="147">
        <v>1652.7149999999999</v>
      </c>
      <c r="AV123" s="147">
        <v>1592.568</v>
      </c>
      <c r="AW123" s="147">
        <v>2205.4650000000001</v>
      </c>
      <c r="AX123" s="147">
        <v>2144.1089999999999</v>
      </c>
      <c r="AY123" s="147">
        <v>2120.5990000000002</v>
      </c>
      <c r="AZ123" s="147">
        <v>1079.3340000000001</v>
      </c>
      <c r="BA123" s="204">
        <v>1859.835</v>
      </c>
    </row>
    <row r="124" spans="2:60" s="146" customFormat="1" hidden="1" outlineLevel="1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45"/>
    </row>
    <row r="125" spans="2:60" s="146" customFormat="1" hidden="1" outlineLevel="1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45"/>
    </row>
    <row r="126" spans="2:60" s="146" customFormat="1" hidden="1" outlineLevel="1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45"/>
    </row>
    <row r="127" spans="2:60" s="146" customFormat="1" hidden="1" outlineLevel="1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45"/>
    </row>
    <row r="128" spans="2:60" hidden="1" outlineLevel="1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45"/>
    </row>
    <row r="129" spans="2:53" hidden="1" outlineLevel="1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45"/>
    </row>
    <row r="130" spans="2:53" collapsed="1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45"/>
      <c r="AL130" s="145"/>
      <c r="AM130" s="145"/>
      <c r="AN130" s="145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45"/>
    </row>
    <row r="131" spans="2:53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45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45"/>
    </row>
    <row r="132" spans="2:5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5"/>
      <c r="AK132" s="145"/>
      <c r="AL132" s="145"/>
      <c r="AM132" s="145"/>
      <c r="AN132" s="145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45"/>
    </row>
    <row r="133" spans="2:5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145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45"/>
    </row>
    <row r="134" spans="2:53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145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45"/>
    </row>
    <row r="135" spans="2:53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145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45"/>
    </row>
    <row r="136" spans="2:53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45"/>
    </row>
    <row r="137" spans="2:53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45"/>
    </row>
    <row r="138" spans="2:53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45"/>
    </row>
    <row r="139" spans="2:53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45"/>
    </row>
    <row r="140" spans="2:53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45"/>
    </row>
    <row r="141" spans="2:53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45"/>
    </row>
    <row r="142" spans="2:53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  <c r="AL142" s="145"/>
      <c r="AM142" s="145"/>
      <c r="AN142" s="145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45"/>
    </row>
    <row r="143" spans="2:53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45"/>
    </row>
    <row r="144" spans="2:53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45"/>
    </row>
    <row r="145" spans="2:53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45"/>
    </row>
    <row r="146" spans="2:53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</row>
    <row r="147" spans="2:53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150" verticalDpi="150" r:id="rId1"/>
  <drawing r:id="rId2"/>
  <legacyDrawing r:id="rId3"/>
  <controls>
    <mc:AlternateContent xmlns:mc="http://schemas.openxmlformats.org/markup-compatibility/2006">
      <mc:Choice Requires="x14">
        <control shapeId="11271" r:id="rId4" name="AnalyzerCMDispatcher">
          <controlPr defaultSize="0" autoLine="0" r:id="rId5">
            <anchor moveWithCells="1">
              <from>
                <xdr:col>7</xdr:col>
                <xdr:colOff>19050</xdr:colOff>
                <xdr:row>14</xdr:row>
                <xdr:rowOff>0</xdr:rowOff>
              </from>
              <to>
                <xdr:col>7</xdr:col>
                <xdr:colOff>28575</xdr:colOff>
                <xdr:row>14</xdr:row>
                <xdr:rowOff>9525</xdr:rowOff>
              </to>
            </anchor>
          </controlPr>
        </control>
      </mc:Choice>
      <mc:Fallback>
        <control shapeId="11271" r:id="rId4" name="AnalyzerCMDispatcher"/>
      </mc:Fallback>
    </mc:AlternateContent>
    <mc:AlternateContent xmlns:mc="http://schemas.openxmlformats.org/markup-compatibility/2006">
      <mc:Choice Requires="x14">
        <control shapeId="11270" r:id="rId6" name="AnalyzerConnectionInfo">
          <controlPr defaultSize="0" autoLine="0" r:id="rId7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70" r:id="rId6" name="AnalyzerConnectionInfo"/>
      </mc:Fallback>
    </mc:AlternateContent>
    <mc:AlternateContent xmlns:mc="http://schemas.openxmlformats.org/markup-compatibility/2006">
      <mc:Choice Requires="x14">
        <control shapeId="11269" r:id="rId8" name="AnalyzerDynSheetInfo">
          <controlPr defaultSize="0" autoLine="0" r:id="rId9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69" r:id="rId8" name="AnalyzerDynSheetInfo"/>
      </mc:Fallback>
    </mc:AlternateContent>
    <mc:AlternateContent xmlns:mc="http://schemas.openxmlformats.org/markup-compatibility/2006">
      <mc:Choice Requires="x14">
        <control shapeId="11268" r:id="rId10" name="AnalyzerDynReport000">
          <controlPr defaultSize="0" autoLine="0" r:id="rId11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68" r:id="rId10" name="AnalyzerDynReport000"/>
      </mc:Fallback>
    </mc:AlternateContent>
    <mc:AlternateContent xmlns:mc="http://schemas.openxmlformats.org/markup-compatibility/2006">
      <mc:Choice Requires="x14">
        <control shapeId="11267" r:id="rId12" name="AnalyzerDynAcrossAxis000">
          <controlPr defaultSize="0" autoLine="0" r:id="rId13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67" r:id="rId12" name="AnalyzerDynAcrossAxis000"/>
      </mc:Fallback>
    </mc:AlternateContent>
    <mc:AlternateContent xmlns:mc="http://schemas.openxmlformats.org/markup-compatibility/2006">
      <mc:Choice Requires="x14">
        <control shapeId="11266" r:id="rId14" name="AnalyzerDynDownAxis000">
          <controlPr defaultSize="0" autoLine="0" r:id="rId15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66" r:id="rId14" name="AnalyzerDynDownAxis000"/>
      </mc:Fallback>
    </mc:AlternateContent>
    <mc:AlternateContent xmlns:mc="http://schemas.openxmlformats.org/markup-compatibility/2006">
      <mc:Choice Requires="x14">
        <control shapeId="11265" r:id="rId16" name="AnalyzerPageHeaders000">
          <controlPr defaultSize="0" autoLine="0" r:id="rId17">
            <anchor moveWithCells="1">
              <from>
                <xdr:col>3</xdr:col>
                <xdr:colOff>371475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9525</xdr:rowOff>
              </to>
            </anchor>
          </controlPr>
        </control>
      </mc:Choice>
      <mc:Fallback>
        <control shapeId="11265" r:id="rId16" name="AnalyzerPageHeaders000"/>
      </mc:Fallback>
    </mc:AlternateContent>
    <mc:AlternateContent xmlns:mc="http://schemas.openxmlformats.org/markup-compatibility/2006">
      <mc:Choice Requires="x14">
        <control shapeId="11288" r:id="rId18" name="AnalyzerCustomMembers">
          <controlPr defaultSize="0" autoLine="0" autoPict="0" r:id="rId19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0</xdr:colOff>
                <xdr:row>56</xdr:row>
                <xdr:rowOff>0</xdr:rowOff>
              </to>
            </anchor>
          </controlPr>
        </control>
      </mc:Choice>
      <mc:Fallback>
        <control shapeId="11288" r:id="rId18" name="AnalyzerCustomMembers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"/>
  <sheetViews>
    <sheetView showGridLines="0" workbookViewId="0">
      <selection activeCell="B27" sqref="B27"/>
    </sheetView>
  </sheetViews>
  <sheetFormatPr defaultColWidth="9.140625" defaultRowHeight="15"/>
  <sheetData>
    <row r="2" spans="2:16">
      <c r="B2" s="164"/>
    </row>
    <row r="3" spans="2:16">
      <c r="B3" s="164"/>
    </row>
    <row r="4" spans="2:16">
      <c r="B4" s="164"/>
    </row>
    <row r="5" spans="2:16">
      <c r="B5" s="164"/>
    </row>
    <row r="6" spans="2:16" ht="15.75" thickBot="1">
      <c r="B6" s="164"/>
    </row>
    <row r="7" spans="2:16">
      <c r="B7" s="165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</row>
    <row r="8" spans="2:16"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</row>
    <row r="9" spans="2:16" ht="28.5">
      <c r="B9" s="171" t="s">
        <v>123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</row>
    <row r="10" spans="2:16" ht="15.75" thickBot="1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4"/>
    </row>
  </sheetData>
  <pageMargins left="0.25" right="0.25" top="0.75" bottom="0.75" header="0.3" footer="0.3"/>
  <pageSetup paperSize="9" orientation="landscape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SOMMAIRE</vt:lpstr>
      <vt:lpstr>BS</vt:lpstr>
      <vt:lpstr>INVENTORY</vt:lpstr>
      <vt:lpstr>WCR</vt:lpstr>
      <vt:lpstr>CF</vt:lpstr>
      <vt:lpstr>ELI</vt:lpstr>
      <vt:lpstr>M</vt:lpstr>
      <vt:lpstr>P</vt:lpstr>
      <vt:lpstr>BS!Print_Area</vt:lpstr>
      <vt:lpstr>CF!Print_Area</vt:lpstr>
      <vt:lpstr>INVENTORY!Print_Area</vt:lpstr>
      <vt:lpstr>SOMMAIRE!Print_Area</vt:lpstr>
      <vt:lpstr>WCR!Print_Area</vt:lpstr>
      <vt:lpstr>U</vt:lpstr>
      <vt:lpstr>VA</vt:lpstr>
      <vt:lpstr>VE</vt:lpstr>
    </vt:vector>
  </TitlesOfParts>
  <Company>Groupe HMY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JOLY</dc:creator>
  <cp:lastModifiedBy>Solene CONSTANS</cp:lastModifiedBy>
  <cp:lastPrinted>2013-02-05T12:06:00Z</cp:lastPrinted>
  <dcterms:created xsi:type="dcterms:W3CDTF">2012-10-29T07:33:22Z</dcterms:created>
  <dcterms:modified xsi:type="dcterms:W3CDTF">2013-05-14T08:40:35Z</dcterms:modified>
</cp:coreProperties>
</file>