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05" windowWidth="18780" windowHeight="9795"/>
  </bookViews>
  <sheets>
    <sheet name="MATRICULE" sheetId="4" r:id="rId1"/>
    <sheet name="PRIME+HEURES SUP" sheetId="12" r:id="rId2"/>
    <sheet name="CDI" sheetId="1" r:id="rId3"/>
  </sheets>
  <definedNames>
    <definedName name="_xlnm._FilterDatabase" localSheetId="0" hidden="1">MATRICULE!$A$1:$J$1</definedName>
  </definedNames>
  <calcPr calcId="145621"/>
</workbook>
</file>

<file path=xl/calcChain.xml><?xml version="1.0" encoding="utf-8"?>
<calcChain xmlns="http://schemas.openxmlformats.org/spreadsheetml/2006/main">
  <c r="C17" i="12" l="1"/>
  <c r="C22" i="12" s="1"/>
  <c r="D17" i="12"/>
  <c r="E17" i="12"/>
  <c r="F17" i="12"/>
  <c r="F22" i="12" s="1"/>
  <c r="G17" i="12"/>
  <c r="G22" i="12" s="1"/>
  <c r="H17" i="12"/>
  <c r="I17" i="12"/>
  <c r="I22" i="12" s="1"/>
  <c r="J17" i="12"/>
  <c r="J22" i="12" s="1"/>
  <c r="K17" i="12"/>
  <c r="K22" i="12" s="1"/>
  <c r="L17" i="12"/>
  <c r="M17" i="12"/>
  <c r="B17" i="12"/>
  <c r="B21" i="12" s="1"/>
  <c r="B25" i="12" s="1"/>
  <c r="C21" i="12"/>
  <c r="D21" i="12"/>
  <c r="E21" i="12"/>
  <c r="F21" i="12"/>
  <c r="G21" i="12"/>
  <c r="H21" i="12"/>
  <c r="I21" i="12"/>
  <c r="J21" i="12"/>
  <c r="K21" i="12"/>
  <c r="L21" i="12"/>
  <c r="M21" i="12"/>
  <c r="B8" i="1"/>
  <c r="B7" i="1"/>
  <c r="D22" i="12"/>
  <c r="E22" i="12"/>
  <c r="H22" i="12"/>
  <c r="L22" i="12"/>
  <c r="M22" i="12"/>
  <c r="N19" i="12"/>
  <c r="B22" i="12" l="1"/>
  <c r="B24" i="12"/>
  <c r="N22" i="12" l="1"/>
  <c r="B9" i="1"/>
  <c r="D23" i="1" s="1"/>
  <c r="B6" i="1"/>
  <c r="N20" i="12"/>
  <c r="N17" i="12"/>
  <c r="N15" i="12"/>
  <c r="N14" i="12"/>
  <c r="N13" i="12"/>
  <c r="B5" i="1"/>
  <c r="B2" i="1"/>
  <c r="B3" i="1"/>
  <c r="B4" i="1"/>
  <c r="N15" i="1"/>
  <c r="N17" i="1"/>
  <c r="N18" i="1"/>
  <c r="D14" i="1" l="1"/>
  <c r="H14" i="1"/>
  <c r="L14" i="1"/>
  <c r="F14" i="1"/>
  <c r="J14" i="1"/>
  <c r="B14" i="1"/>
  <c r="G14" i="1"/>
  <c r="K14" i="1"/>
  <c r="E14" i="1"/>
  <c r="I14" i="1"/>
  <c r="M14" i="1"/>
  <c r="C14" i="1"/>
  <c r="B13" i="1"/>
  <c r="F19" i="1"/>
  <c r="J19" i="1"/>
  <c r="C19" i="1"/>
  <c r="G19" i="1"/>
  <c r="K19" i="1"/>
  <c r="D19" i="1"/>
  <c r="H19" i="1"/>
  <c r="L19" i="1"/>
  <c r="B19" i="1"/>
  <c r="E19" i="1"/>
  <c r="I19" i="1"/>
  <c r="M19" i="1"/>
  <c r="C23" i="1"/>
  <c r="B23" i="1"/>
  <c r="K23" i="1"/>
  <c r="I23" i="1"/>
  <c r="G23" i="1"/>
  <c r="M23" i="1"/>
  <c r="E23" i="1"/>
  <c r="J23" i="1"/>
  <c r="F23" i="1"/>
  <c r="L23" i="1"/>
  <c r="H23" i="1"/>
  <c r="N18" i="12"/>
  <c r="E24" i="12"/>
  <c r="E25" i="12"/>
  <c r="M24" i="12"/>
  <c r="M25" i="12"/>
  <c r="C25" i="12"/>
  <c r="G25" i="12"/>
  <c r="K25" i="12"/>
  <c r="D25" i="12"/>
  <c r="D24" i="12"/>
  <c r="H25" i="12"/>
  <c r="H24" i="12"/>
  <c r="L25" i="12"/>
  <c r="L24" i="12"/>
  <c r="I24" i="12"/>
  <c r="I25" i="12"/>
  <c r="F25" i="12"/>
  <c r="J25" i="12"/>
  <c r="J24" i="12"/>
  <c r="F13" i="1"/>
  <c r="I13" i="1"/>
  <c r="E13" i="1"/>
  <c r="L13" i="1"/>
  <c r="K13" i="1"/>
  <c r="H13" i="1"/>
  <c r="D13" i="1"/>
  <c r="J13" i="1"/>
  <c r="G13" i="1"/>
  <c r="C13" i="1"/>
  <c r="M13" i="1"/>
  <c r="N20" i="1"/>
  <c r="L21" i="1" l="1"/>
  <c r="C21" i="1"/>
  <c r="H21" i="1"/>
  <c r="I21" i="1"/>
  <c r="G21" i="1"/>
  <c r="J21" i="1"/>
  <c r="F21" i="1"/>
  <c r="M21" i="1"/>
  <c r="D21" i="1"/>
  <c r="E21" i="1"/>
  <c r="K21" i="1"/>
  <c r="B21" i="1"/>
  <c r="B22" i="1" s="1"/>
  <c r="B24" i="1" s="1"/>
  <c r="N14" i="1"/>
  <c r="N19" i="1"/>
  <c r="I26" i="12"/>
  <c r="F24" i="12"/>
  <c r="J26" i="12"/>
  <c r="N25" i="12"/>
  <c r="N21" i="12"/>
  <c r="L26" i="12"/>
  <c r="M26" i="12"/>
  <c r="H26" i="12"/>
  <c r="G24" i="12"/>
  <c r="G26" i="12" s="1"/>
  <c r="F26" i="12"/>
  <c r="E26" i="12"/>
  <c r="D26" i="12"/>
  <c r="N23" i="12"/>
  <c r="C24" i="12"/>
  <c r="C26" i="12" s="1"/>
  <c r="K24" i="12"/>
  <c r="K26" i="12" s="1"/>
  <c r="B25" i="1" l="1"/>
  <c r="C22" i="1"/>
  <c r="D22" i="1"/>
  <c r="F22" i="1"/>
  <c r="G22" i="1"/>
  <c r="I22" i="1"/>
  <c r="M22" i="1"/>
  <c r="N21" i="1"/>
  <c r="J22" i="1"/>
  <c r="H22" i="1"/>
  <c r="K22" i="1"/>
  <c r="E22" i="1"/>
  <c r="L22" i="1"/>
  <c r="N24" i="12"/>
  <c r="B26" i="12"/>
  <c r="N26" i="12" s="1"/>
  <c r="N22" i="1" l="1"/>
  <c r="N23" i="1"/>
  <c r="B26" i="1"/>
  <c r="L25" i="1"/>
  <c r="H25" i="1"/>
  <c r="E25" i="1"/>
  <c r="J25" i="1"/>
  <c r="K25" i="1"/>
  <c r="G25" i="1"/>
  <c r="D25" i="1"/>
  <c r="M25" i="1"/>
  <c r="I25" i="1"/>
  <c r="F25" i="1"/>
  <c r="C25" i="1"/>
  <c r="F24" i="1" l="1"/>
  <c r="M24" i="1"/>
  <c r="G24" i="1"/>
  <c r="J24" i="1"/>
  <c r="C24" i="1"/>
  <c r="I24" i="1"/>
  <c r="D24" i="1"/>
  <c r="K24" i="1"/>
  <c r="E24" i="1"/>
  <c r="L24" i="1"/>
  <c r="H24" i="1"/>
  <c r="N25" i="1"/>
  <c r="E26" i="1" l="1"/>
  <c r="C26" i="1"/>
  <c r="F26" i="1"/>
  <c r="K26" i="1"/>
  <c r="J26" i="1"/>
  <c r="H26" i="1"/>
  <c r="D26" i="1"/>
  <c r="G26" i="1"/>
  <c r="L26" i="1"/>
  <c r="I26" i="1"/>
  <c r="M26" i="1"/>
  <c r="N13" i="1"/>
  <c r="N26" i="1" l="1"/>
  <c r="N24" i="1"/>
</calcChain>
</file>

<file path=xl/sharedStrings.xml><?xml version="1.0" encoding="utf-8"?>
<sst xmlns="http://schemas.openxmlformats.org/spreadsheetml/2006/main" count="105" uniqueCount="52">
  <si>
    <t>salaire de base</t>
  </si>
  <si>
    <t>ancienneté</t>
  </si>
  <si>
    <t>brute</t>
  </si>
  <si>
    <t>mutuelle</t>
  </si>
  <si>
    <t>coût total</t>
  </si>
  <si>
    <t>primes</t>
  </si>
  <si>
    <t>total</t>
  </si>
  <si>
    <t>heure sup (en valeur)</t>
  </si>
  <si>
    <t>precarité</t>
  </si>
  <si>
    <t>prime stagiaire non soumis</t>
  </si>
  <si>
    <t>tx charge fiscale</t>
  </si>
  <si>
    <t>tx charge cadre social (hors mutuelle)</t>
  </si>
  <si>
    <t>tx charge non cadre social (hors mutuelle)</t>
  </si>
  <si>
    <t>charges hors mutuelle social</t>
  </si>
  <si>
    <t>charge hors mutuelle fiscale</t>
  </si>
  <si>
    <t>total charges social</t>
  </si>
  <si>
    <t>MATRICULE</t>
  </si>
  <si>
    <t>NOM</t>
  </si>
  <si>
    <t>PRENOM</t>
  </si>
  <si>
    <t>SERVICE</t>
  </si>
  <si>
    <t>CONTRAT</t>
  </si>
  <si>
    <t>STATUT</t>
  </si>
  <si>
    <t>MUTUELLE</t>
  </si>
  <si>
    <t>ISOLE</t>
  </si>
  <si>
    <t>COLLEGE</t>
  </si>
  <si>
    <t>NOVEMBRE</t>
  </si>
  <si>
    <t>COUPLE</t>
  </si>
  <si>
    <t>FAMILLE</t>
  </si>
  <si>
    <t>valeur point ancienneté</t>
  </si>
  <si>
    <t>% augmentation novembre</t>
  </si>
  <si>
    <t>% augmentation juillet</t>
  </si>
  <si>
    <t>rubriques</t>
  </si>
  <si>
    <t>provision CP</t>
  </si>
  <si>
    <t>SMIC mensuel</t>
  </si>
  <si>
    <t>COEFFICIENT</t>
  </si>
  <si>
    <t>DATE D'EMBAUCHE</t>
  </si>
  <si>
    <t>heure sup (en quantité)</t>
  </si>
  <si>
    <t>taux horaire moyen service</t>
  </si>
  <si>
    <t>taux majoration moyen hsup service</t>
  </si>
  <si>
    <t>CDI</t>
  </si>
  <si>
    <t>COEF.</t>
  </si>
  <si>
    <t>SALAIRE BASE</t>
  </si>
  <si>
    <t>RIRI</t>
  </si>
  <si>
    <t>FIFI</t>
  </si>
  <si>
    <t>LOULOU</t>
  </si>
  <si>
    <t>CDD</t>
  </si>
  <si>
    <t>CADRE</t>
  </si>
  <si>
    <t>EMPLOYE</t>
  </si>
  <si>
    <t>COMPTA</t>
  </si>
  <si>
    <t>JIM</t>
  </si>
  <si>
    <t>JOE</t>
  </si>
  <si>
    <t>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</si>
</sst>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[$-40C]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2" xfId="0" applyBorder="1"/>
    <xf numFmtId="0" fontId="1" fillId="0" borderId="3" xfId="0" applyFont="1" applyBorder="1"/>
    <xf numFmtId="0" fontId="1" fillId="0" borderId="0" xfId="0" applyFont="1"/>
    <xf numFmtId="0" fontId="0" fillId="0" borderId="2" xfId="0" applyFill="1" applyBorder="1"/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9" fontId="0" fillId="0" borderId="2" xfId="0" applyNumberFormat="1" applyBorder="1" applyAlignment="1">
      <alignment horizontal="left"/>
    </xf>
    <xf numFmtId="10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8" xfId="1" applyNumberFormat="1" applyFont="1" applyBorder="1" applyAlignment="1">
      <alignment horizontal="left"/>
    </xf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0" fillId="0" borderId="7" xfId="1" applyNumberFormat="1" applyFont="1" applyBorder="1"/>
    <xf numFmtId="164" fontId="1" fillId="0" borderId="6" xfId="1" applyNumberFormat="1" applyFont="1" applyBorder="1" applyAlignment="1">
      <alignment horizontal="left"/>
    </xf>
    <xf numFmtId="164" fontId="1" fillId="0" borderId="6" xfId="1" applyNumberFormat="1" applyFont="1" applyBorder="1"/>
    <xf numFmtId="164" fontId="1" fillId="0" borderId="4" xfId="1" applyNumberFormat="1" applyFont="1" applyBorder="1"/>
    <xf numFmtId="0" fontId="1" fillId="0" borderId="4" xfId="0" applyFont="1" applyBorder="1" applyAlignment="1">
      <alignment horizontal="center"/>
    </xf>
    <xf numFmtId="164" fontId="1" fillId="0" borderId="5" xfId="1" applyNumberFormat="1" applyFont="1" applyBorder="1"/>
    <xf numFmtId="0" fontId="1" fillId="0" borderId="9" xfId="0" applyFont="1" applyBorder="1"/>
    <xf numFmtId="9" fontId="0" fillId="0" borderId="0" xfId="0" applyNumberFormat="1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  <xf numFmtId="165" fontId="0" fillId="0" borderId="6" xfId="0" applyNumberFormat="1" applyBorder="1" applyAlignment="1">
      <alignment horizontal="left"/>
    </xf>
    <xf numFmtId="165" fontId="0" fillId="0" borderId="6" xfId="0" applyNumberFormat="1" applyBorder="1" applyAlignment="1">
      <alignment horizontal="center"/>
    </xf>
    <xf numFmtId="0" fontId="0" fillId="0" borderId="0" xfId="0" applyProtection="1">
      <protection locked="0"/>
    </xf>
    <xf numFmtId="164" fontId="0" fillId="0" borderId="1" xfId="1" applyNumberFormat="1" applyFont="1" applyBorder="1" applyAlignment="1" applyProtection="1">
      <alignment horizontal="left"/>
      <protection locked="0"/>
    </xf>
    <xf numFmtId="164" fontId="0" fillId="0" borderId="1" xfId="1" applyNumberFormat="1" applyFont="1" applyBorder="1" applyProtection="1">
      <protection locked="0"/>
    </xf>
    <xf numFmtId="164" fontId="0" fillId="0" borderId="7" xfId="1" applyNumberFormat="1" applyFont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9" fontId="0" fillId="0" borderId="2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4</xdr:row>
          <xdr:rowOff>38100</xdr:rowOff>
        </xdr:from>
        <xdr:to>
          <xdr:col>11</xdr:col>
          <xdr:colOff>419100</xdr:colOff>
          <xdr:row>5</xdr:row>
          <xdr:rowOff>85725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Bouton 1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J4"/>
  <sheetViews>
    <sheetView tabSelected="1" workbookViewId="0">
      <selection activeCell="J9" sqref="J9"/>
    </sheetView>
  </sheetViews>
  <sheetFormatPr baseColWidth="10" defaultRowHeight="15" x14ac:dyDescent="0.25"/>
  <cols>
    <col min="4" max="4" width="30.85546875" customWidth="1"/>
    <col min="10" max="10" width="20.5703125" customWidth="1"/>
  </cols>
  <sheetData>
    <row r="1" spans="1:10" x14ac:dyDescent="0.25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40</v>
      </c>
      <c r="H1" t="s">
        <v>35</v>
      </c>
      <c r="I1" t="s">
        <v>41</v>
      </c>
      <c r="J1" t="s">
        <v>22</v>
      </c>
    </row>
    <row r="2" spans="1:10" x14ac:dyDescent="0.25">
      <c r="A2">
        <v>1</v>
      </c>
      <c r="B2" t="s">
        <v>42</v>
      </c>
      <c r="C2" t="s">
        <v>51</v>
      </c>
      <c r="D2" t="s">
        <v>48</v>
      </c>
      <c r="E2" t="s">
        <v>39</v>
      </c>
      <c r="F2" t="s">
        <v>46</v>
      </c>
      <c r="H2" s="21">
        <v>39934</v>
      </c>
      <c r="I2">
        <v>3000</v>
      </c>
      <c r="J2" t="s">
        <v>23</v>
      </c>
    </row>
    <row r="3" spans="1:10" x14ac:dyDescent="0.25">
      <c r="A3">
        <v>25</v>
      </c>
      <c r="B3" t="s">
        <v>43</v>
      </c>
      <c r="C3" t="s">
        <v>49</v>
      </c>
      <c r="D3" t="s">
        <v>48</v>
      </c>
      <c r="E3" t="s">
        <v>39</v>
      </c>
      <c r="F3" t="s">
        <v>47</v>
      </c>
      <c r="H3" s="21">
        <v>41197</v>
      </c>
      <c r="I3">
        <v>2000</v>
      </c>
      <c r="J3" t="s">
        <v>26</v>
      </c>
    </row>
    <row r="4" spans="1:10" x14ac:dyDescent="0.25">
      <c r="A4">
        <v>53</v>
      </c>
      <c r="B4" t="s">
        <v>44</v>
      </c>
      <c r="C4" t="s">
        <v>50</v>
      </c>
      <c r="D4" t="s">
        <v>48</v>
      </c>
      <c r="E4" t="s">
        <v>45</v>
      </c>
      <c r="F4" t="s">
        <v>47</v>
      </c>
      <c r="H4" s="21">
        <v>41343</v>
      </c>
      <c r="I4">
        <v>1500</v>
      </c>
      <c r="J4" t="s">
        <v>27</v>
      </c>
    </row>
  </sheetData>
  <pageMargins left="0.26" right="0.17" top="0.74803149606299213" bottom="0.7480314960629921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test">
                <anchor moveWithCells="1">
                  <from>
                    <xdr:col>10</xdr:col>
                    <xdr:colOff>609600</xdr:colOff>
                    <xdr:row>4</xdr:row>
                    <xdr:rowOff>38100</xdr:rowOff>
                  </from>
                  <to>
                    <xdr:col>11</xdr:col>
                    <xdr:colOff>419100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N44"/>
  <sheetViews>
    <sheetView workbookViewId="0">
      <selection activeCell="J15" sqref="J15"/>
    </sheetView>
  </sheetViews>
  <sheetFormatPr baseColWidth="10" defaultRowHeight="15" x14ac:dyDescent="0.25"/>
  <cols>
    <col min="1" max="1" width="30.28515625" customWidth="1"/>
    <col min="2" max="2" width="12.140625" style="5" customWidth="1"/>
    <col min="3" max="13" width="12.140625" customWidth="1"/>
    <col min="14" max="14" width="11.85546875" bestFit="1" customWidth="1"/>
  </cols>
  <sheetData>
    <row r="1" spans="1:14" x14ac:dyDescent="0.25">
      <c r="A1" t="s">
        <v>16</v>
      </c>
    </row>
    <row r="2" spans="1:14" x14ac:dyDescent="0.25">
      <c r="A2" t="s">
        <v>17</v>
      </c>
    </row>
    <row r="3" spans="1:14" x14ac:dyDescent="0.25">
      <c r="A3" t="s">
        <v>18</v>
      </c>
    </row>
    <row r="4" spans="1:14" x14ac:dyDescent="0.25">
      <c r="A4" t="s">
        <v>19</v>
      </c>
    </row>
    <row r="5" spans="1:14" x14ac:dyDescent="0.25">
      <c r="A5" t="s">
        <v>20</v>
      </c>
      <c r="B5"/>
    </row>
    <row r="6" spans="1:14" x14ac:dyDescent="0.25">
      <c r="A6" t="s">
        <v>21</v>
      </c>
      <c r="B6"/>
    </row>
    <row r="7" spans="1:14" x14ac:dyDescent="0.25">
      <c r="A7" t="s">
        <v>34</v>
      </c>
      <c r="B7"/>
    </row>
    <row r="8" spans="1:14" x14ac:dyDescent="0.25">
      <c r="A8" t="s">
        <v>35</v>
      </c>
      <c r="B8" s="21"/>
    </row>
    <row r="9" spans="1:14" x14ac:dyDescent="0.25">
      <c r="A9" t="s">
        <v>22</v>
      </c>
      <c r="B9"/>
    </row>
    <row r="10" spans="1:14" x14ac:dyDescent="0.25">
      <c r="A10" t="s">
        <v>24</v>
      </c>
      <c r="B10"/>
    </row>
    <row r="11" spans="1:14" ht="15.75" thickBot="1" x14ac:dyDescent="0.3"/>
    <row r="12" spans="1:14" ht="15.75" thickBot="1" x14ac:dyDescent="0.3">
      <c r="A12" s="6" t="s">
        <v>31</v>
      </c>
      <c r="B12" s="23">
        <v>41579</v>
      </c>
      <c r="C12" s="24">
        <v>41609</v>
      </c>
      <c r="D12" s="23">
        <v>41640</v>
      </c>
      <c r="E12" s="24">
        <v>41671</v>
      </c>
      <c r="F12" s="23">
        <v>41699</v>
      </c>
      <c r="G12" s="24">
        <v>41730</v>
      </c>
      <c r="H12" s="23">
        <v>41760</v>
      </c>
      <c r="I12" s="24">
        <v>41791</v>
      </c>
      <c r="J12" s="23">
        <v>41821</v>
      </c>
      <c r="K12" s="24">
        <v>41852</v>
      </c>
      <c r="L12" s="23">
        <v>41883</v>
      </c>
      <c r="M12" s="24">
        <v>41913</v>
      </c>
      <c r="N12" s="17" t="s">
        <v>6</v>
      </c>
    </row>
    <row r="13" spans="1:14" x14ac:dyDescent="0.25">
      <c r="A13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8">
        <f>SUM(B13:M13)</f>
        <v>0</v>
      </c>
    </row>
    <row r="14" spans="1:14" x14ac:dyDescent="0.25">
      <c r="A14" t="s">
        <v>1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8">
        <f t="shared" ref="N14:N21" si="0">SUM(B14:M14)</f>
        <v>0</v>
      </c>
    </row>
    <row r="15" spans="1:14" x14ac:dyDescent="0.25">
      <c r="A15" s="25" t="s">
        <v>5</v>
      </c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  <c r="N15" s="18">
        <f t="shared" si="0"/>
        <v>0</v>
      </c>
    </row>
    <row r="16" spans="1:14" x14ac:dyDescent="0.25">
      <c r="A16" s="25" t="s">
        <v>36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  <c r="N16" s="18"/>
    </row>
    <row r="17" spans="1:14" x14ac:dyDescent="0.25">
      <c r="A17" t="s">
        <v>7</v>
      </c>
      <c r="B17" s="11">
        <f>B16*$B$42*$B$43</f>
        <v>0</v>
      </c>
      <c r="C17" s="11">
        <f t="shared" ref="C17:M17" si="1">C16*$B$42*$B$43</f>
        <v>0</v>
      </c>
      <c r="D17" s="11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  <c r="K17" s="11">
        <f t="shared" si="1"/>
        <v>0</v>
      </c>
      <c r="L17" s="11">
        <f t="shared" si="1"/>
        <v>0</v>
      </c>
      <c r="M17" s="11">
        <f t="shared" si="1"/>
        <v>0</v>
      </c>
      <c r="N17" s="18">
        <f t="shared" si="0"/>
        <v>0</v>
      </c>
    </row>
    <row r="18" spans="1:14" x14ac:dyDescent="0.25">
      <c r="A18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8">
        <f t="shared" si="0"/>
        <v>0</v>
      </c>
    </row>
    <row r="19" spans="1:14" x14ac:dyDescent="0.25">
      <c r="A19" t="s">
        <v>32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8">
        <f t="shared" si="0"/>
        <v>0</v>
      </c>
    </row>
    <row r="20" spans="1:14" ht="15.75" thickBot="1" x14ac:dyDescent="0.3">
      <c r="A20" t="s">
        <v>9</v>
      </c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  <c r="N20" s="18">
        <f>SUM(B20:M20)</f>
        <v>0</v>
      </c>
    </row>
    <row r="21" spans="1:14" s="3" customFormat="1" ht="15.75" thickBot="1" x14ac:dyDescent="0.3">
      <c r="A21" s="2" t="s">
        <v>2</v>
      </c>
      <c r="B21" s="15">
        <f>SUM(B13:B19)-B16</f>
        <v>0</v>
      </c>
      <c r="C21" s="15">
        <f t="shared" ref="C21:M21" si="2">SUM(C13:C19)-C16</f>
        <v>0</v>
      </c>
      <c r="D21" s="15">
        <f t="shared" si="2"/>
        <v>0</v>
      </c>
      <c r="E21" s="15">
        <f t="shared" si="2"/>
        <v>0</v>
      </c>
      <c r="F21" s="15">
        <f t="shared" si="2"/>
        <v>0</v>
      </c>
      <c r="G21" s="15">
        <f t="shared" si="2"/>
        <v>0</v>
      </c>
      <c r="H21" s="15">
        <f t="shared" si="2"/>
        <v>0</v>
      </c>
      <c r="I21" s="15">
        <f t="shared" si="2"/>
        <v>0</v>
      </c>
      <c r="J21" s="15">
        <f t="shared" si="2"/>
        <v>0</v>
      </c>
      <c r="K21" s="15">
        <f t="shared" si="2"/>
        <v>0</v>
      </c>
      <c r="L21" s="15">
        <f t="shared" si="2"/>
        <v>0</v>
      </c>
      <c r="M21" s="15">
        <f t="shared" si="2"/>
        <v>0</v>
      </c>
      <c r="N21" s="16">
        <f t="shared" si="0"/>
        <v>0</v>
      </c>
    </row>
    <row r="22" spans="1:14" x14ac:dyDescent="0.25">
      <c r="A22" t="s">
        <v>13</v>
      </c>
      <c r="B22" s="11">
        <f>B15*$B$33+B17*$B$34</f>
        <v>0</v>
      </c>
      <c r="C22" s="11">
        <f t="shared" ref="C22:M22" si="3">C15*$B$33+C17*$B$34</f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  <c r="M22" s="11">
        <f t="shared" si="3"/>
        <v>0</v>
      </c>
      <c r="N22" s="18">
        <f>SUM(B22:M22)</f>
        <v>0</v>
      </c>
    </row>
    <row r="23" spans="1:14" ht="15.75" thickBot="1" x14ac:dyDescent="0.3">
      <c r="A23" t="s">
        <v>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8">
        <f>SUM(B23:M23)</f>
        <v>0</v>
      </c>
    </row>
    <row r="24" spans="1:14" ht="15.75" thickBot="1" x14ac:dyDescent="0.3">
      <c r="A24" s="19" t="s">
        <v>15</v>
      </c>
      <c r="B24" s="14">
        <f>B22+B23</f>
        <v>0</v>
      </c>
      <c r="C24" s="14">
        <f t="shared" ref="C24:M24" si="4">C22+C23</f>
        <v>0</v>
      </c>
      <c r="D24" s="14">
        <f t="shared" si="4"/>
        <v>0</v>
      </c>
      <c r="E24" s="14">
        <f t="shared" si="4"/>
        <v>0</v>
      </c>
      <c r="F24" s="14">
        <f t="shared" si="4"/>
        <v>0</v>
      </c>
      <c r="G24" s="14">
        <f t="shared" si="4"/>
        <v>0</v>
      </c>
      <c r="H24" s="14">
        <f t="shared" si="4"/>
        <v>0</v>
      </c>
      <c r="I24" s="14">
        <f t="shared" si="4"/>
        <v>0</v>
      </c>
      <c r="J24" s="14">
        <f t="shared" si="4"/>
        <v>0</v>
      </c>
      <c r="K24" s="14">
        <f t="shared" si="4"/>
        <v>0</v>
      </c>
      <c r="L24" s="14">
        <f t="shared" si="4"/>
        <v>0</v>
      </c>
      <c r="M24" s="14">
        <f t="shared" si="4"/>
        <v>0</v>
      </c>
      <c r="N24" s="16">
        <f>SUM(B24:M24)</f>
        <v>0</v>
      </c>
    </row>
    <row r="25" spans="1:14" ht="15.75" thickBot="1" x14ac:dyDescent="0.3">
      <c r="A25" t="s">
        <v>14</v>
      </c>
      <c r="B25" s="11">
        <f t="shared" ref="B25:M25" si="5">B21*$B$35</f>
        <v>0</v>
      </c>
      <c r="C25" s="11">
        <f t="shared" si="5"/>
        <v>0</v>
      </c>
      <c r="D25" s="11">
        <f t="shared" si="5"/>
        <v>0</v>
      </c>
      <c r="E25" s="11">
        <f t="shared" si="5"/>
        <v>0</v>
      </c>
      <c r="F25" s="11">
        <f t="shared" si="5"/>
        <v>0</v>
      </c>
      <c r="G25" s="11">
        <f t="shared" si="5"/>
        <v>0</v>
      </c>
      <c r="H25" s="11">
        <f t="shared" si="5"/>
        <v>0</v>
      </c>
      <c r="I25" s="11">
        <f t="shared" si="5"/>
        <v>0</v>
      </c>
      <c r="J25" s="11">
        <f t="shared" si="5"/>
        <v>0</v>
      </c>
      <c r="K25" s="11">
        <f t="shared" si="5"/>
        <v>0</v>
      </c>
      <c r="L25" s="11">
        <f t="shared" si="5"/>
        <v>0</v>
      </c>
      <c r="M25" s="11">
        <f t="shared" si="5"/>
        <v>0</v>
      </c>
      <c r="N25" s="18">
        <f t="shared" ref="N25" si="6">SUM(B25:M25)</f>
        <v>0</v>
      </c>
    </row>
    <row r="26" spans="1:14" s="3" customFormat="1" ht="15.75" thickBot="1" x14ac:dyDescent="0.3">
      <c r="A26" s="2" t="s">
        <v>4</v>
      </c>
      <c r="B26" s="14">
        <f t="shared" ref="B26:M26" si="7">B21+B24+B25+B20</f>
        <v>0</v>
      </c>
      <c r="C26" s="14">
        <f t="shared" si="7"/>
        <v>0</v>
      </c>
      <c r="D26" s="14">
        <f t="shared" si="7"/>
        <v>0</v>
      </c>
      <c r="E26" s="14">
        <f t="shared" si="7"/>
        <v>0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0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6">
        <f>SUM(B26:M26)</f>
        <v>0</v>
      </c>
    </row>
    <row r="29" spans="1:14" hidden="1" x14ac:dyDescent="0.25"/>
    <row r="30" spans="1:14" hidden="1" x14ac:dyDescent="0.25"/>
    <row r="31" spans="1:14" hidden="1" x14ac:dyDescent="0.25"/>
    <row r="33" spans="1:2" x14ac:dyDescent="0.25">
      <c r="A33" s="1" t="s">
        <v>11</v>
      </c>
      <c r="B33" s="7">
        <v>0.45</v>
      </c>
    </row>
    <row r="34" spans="1:2" x14ac:dyDescent="0.25">
      <c r="A34" s="1" t="s">
        <v>12</v>
      </c>
      <c r="B34" s="7">
        <v>0.23</v>
      </c>
    </row>
    <row r="35" spans="1:2" x14ac:dyDescent="0.25">
      <c r="A35" s="1" t="s">
        <v>10</v>
      </c>
      <c r="B35" s="8">
        <v>2.7300000000000001E-2</v>
      </c>
    </row>
    <row r="36" spans="1:2" x14ac:dyDescent="0.25">
      <c r="A36" s="1" t="s">
        <v>26</v>
      </c>
      <c r="B36" s="9">
        <v>55.87</v>
      </c>
    </row>
    <row r="37" spans="1:2" x14ac:dyDescent="0.25">
      <c r="A37" s="1" t="s">
        <v>27</v>
      </c>
      <c r="B37" s="9">
        <v>77.12</v>
      </c>
    </row>
    <row r="38" spans="1:2" x14ac:dyDescent="0.25">
      <c r="A38" s="1" t="s">
        <v>23</v>
      </c>
      <c r="B38" s="9">
        <v>31.63</v>
      </c>
    </row>
    <row r="39" spans="1:2" x14ac:dyDescent="0.25">
      <c r="A39" s="1" t="s">
        <v>29</v>
      </c>
      <c r="B39" s="7">
        <v>1.05</v>
      </c>
    </row>
    <row r="40" spans="1:2" x14ac:dyDescent="0.25">
      <c r="A40" s="1" t="s">
        <v>30</v>
      </c>
      <c r="B40" s="7">
        <v>1.02</v>
      </c>
    </row>
    <row r="41" spans="1:2" x14ac:dyDescent="0.25">
      <c r="A41" s="4" t="s">
        <v>33</v>
      </c>
      <c r="B41" s="9">
        <v>1430.22</v>
      </c>
    </row>
    <row r="42" spans="1:2" x14ac:dyDescent="0.25">
      <c r="A42" s="4" t="s">
        <v>37</v>
      </c>
      <c r="B42" s="29">
        <v>12.5</v>
      </c>
    </row>
    <row r="43" spans="1:2" x14ac:dyDescent="0.25">
      <c r="A43" s="4" t="s">
        <v>38</v>
      </c>
      <c r="B43" s="30">
        <v>1.27</v>
      </c>
    </row>
    <row r="44" spans="1:2" x14ac:dyDescent="0.25">
      <c r="A44" s="4" t="s">
        <v>28</v>
      </c>
      <c r="B44" s="9">
        <v>5.39</v>
      </c>
    </row>
  </sheetData>
  <sheetProtection password="F946" sheet="1" objects="1" scenarios="1" selectLockedCells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N47"/>
  <sheetViews>
    <sheetView workbookViewId="0">
      <selection activeCell="B1" sqref="B1"/>
    </sheetView>
  </sheetViews>
  <sheetFormatPr baseColWidth="10" defaultRowHeight="15" x14ac:dyDescent="0.25"/>
  <cols>
    <col min="1" max="1" width="30.28515625" customWidth="1"/>
    <col min="2" max="2" width="12.140625" style="5" customWidth="1"/>
    <col min="3" max="13" width="12.140625" customWidth="1"/>
    <col min="14" max="14" width="11.85546875" bestFit="1" customWidth="1"/>
  </cols>
  <sheetData>
    <row r="1" spans="1:14" x14ac:dyDescent="0.25">
      <c r="A1" t="s">
        <v>16</v>
      </c>
      <c r="B1" s="31">
        <v>1</v>
      </c>
    </row>
    <row r="2" spans="1:14" x14ac:dyDescent="0.25">
      <c r="A2" t="s">
        <v>17</v>
      </c>
      <c r="B2" s="5" t="str">
        <f>VLOOKUP($B$1,MATRICULE!$A$1:$J$157,2,FALSE)</f>
        <v>RIRI</v>
      </c>
    </row>
    <row r="3" spans="1:14" x14ac:dyDescent="0.25">
      <c r="A3" t="s">
        <v>18</v>
      </c>
      <c r="B3" s="5" t="str">
        <f>VLOOKUP($B$1,MATRICULE!$A$1:$J$157,3,FALSE)</f>
        <v>JOHN</v>
      </c>
    </row>
    <row r="4" spans="1:14" x14ac:dyDescent="0.25">
      <c r="A4" t="s">
        <v>19</v>
      </c>
      <c r="B4" s="5" t="str">
        <f>VLOOKUP($B$1,MATRICULE!$A$1:$J$157,4,FALSE)</f>
        <v>COMPTA</v>
      </c>
    </row>
    <row r="5" spans="1:14" x14ac:dyDescent="0.25">
      <c r="A5" t="s">
        <v>20</v>
      </c>
      <c r="B5" s="5" t="str">
        <f>VLOOKUP($B$1,MATRICULE!$A$1:$J$157,5,FALSE)</f>
        <v>CDI</v>
      </c>
    </row>
    <row r="6" spans="1:14" x14ac:dyDescent="0.25">
      <c r="A6" t="s">
        <v>21</v>
      </c>
      <c r="B6" s="5" t="str">
        <f>VLOOKUP($B$1,MATRICULE!$A$1:$J$157,6,FALSE)</f>
        <v>CADRE</v>
      </c>
    </row>
    <row r="7" spans="1:14" x14ac:dyDescent="0.25">
      <c r="A7" t="s">
        <v>34</v>
      </c>
      <c r="B7" s="5">
        <f>VLOOKUP($B$1,MATRICULE!$A$1:$J$157,7,FALSE)</f>
        <v>0</v>
      </c>
    </row>
    <row r="8" spans="1:14" x14ac:dyDescent="0.25">
      <c r="A8" t="s">
        <v>35</v>
      </c>
      <c r="B8" s="22">
        <f>VLOOKUP($B$1,MATRICULE!$A$1:$J$157,8,FALSE)</f>
        <v>39934</v>
      </c>
    </row>
    <row r="9" spans="1:14" x14ac:dyDescent="0.25">
      <c r="A9" t="s">
        <v>22</v>
      </c>
      <c r="B9" s="5" t="str">
        <f>VLOOKUP($B$1,MATRICULE!$A$1:$J$157,10,FALSE)</f>
        <v>ISOLE</v>
      </c>
    </row>
    <row r="10" spans="1:14" x14ac:dyDescent="0.25">
      <c r="A10" t="s">
        <v>24</v>
      </c>
      <c r="B10" s="31" t="s">
        <v>25</v>
      </c>
    </row>
    <row r="11" spans="1:14" ht="15.75" thickBot="1" x14ac:dyDescent="0.3"/>
    <row r="12" spans="1:14" ht="15.75" thickBot="1" x14ac:dyDescent="0.3">
      <c r="A12" s="6" t="s">
        <v>31</v>
      </c>
      <c r="B12" s="23">
        <v>41579</v>
      </c>
      <c r="C12" s="24">
        <v>41609</v>
      </c>
      <c r="D12" s="23">
        <v>41640</v>
      </c>
      <c r="E12" s="24">
        <v>41671</v>
      </c>
      <c r="F12" s="23">
        <v>41699</v>
      </c>
      <c r="G12" s="24">
        <v>41730</v>
      </c>
      <c r="H12" s="23">
        <v>41760</v>
      </c>
      <c r="I12" s="24">
        <v>41791</v>
      </c>
      <c r="J12" s="23">
        <v>41821</v>
      </c>
      <c r="K12" s="24">
        <v>41852</v>
      </c>
      <c r="L12" s="23">
        <v>41883</v>
      </c>
      <c r="M12" s="24">
        <v>41913</v>
      </c>
      <c r="N12" s="17" t="s">
        <v>6</v>
      </c>
    </row>
    <row r="13" spans="1:14" x14ac:dyDescent="0.25">
      <c r="A13" t="s">
        <v>0</v>
      </c>
      <c r="B13" s="10">
        <f>IF(AND($B$5="CDI",$B$10="NOVEMBRE"),VLOOKUP($B$1,MATRICULE!$A$1:$J$157,9,FALSE)*$B$39,VLOOKUP($B$1,MATRICULE!$A$1:$J$157,9,FALSE))</f>
        <v>3150</v>
      </c>
      <c r="C13" s="10">
        <f>IF(AND($B$5="CDI",$B$10="NOVEMBRE"),VLOOKUP($B$1,MATRICULE!$A$1:$J$157,9,FALSE)*$B$39,VLOOKUP($B$1,MATRICULE!$A$1:$J$157,9,FALSE))</f>
        <v>3150</v>
      </c>
      <c r="D13" s="10">
        <f>IF(AND($B$5="CDI",$B$10="NOVEMBRE"),VLOOKUP($B$1,MATRICULE!$A$1:$J$157,9,FALSE)*$B$39,VLOOKUP($B$1,MATRICULE!$A$1:$J$157,9,FALSE))</f>
        <v>3150</v>
      </c>
      <c r="E13" s="10">
        <f>IF(AND($B$5="CDI",$B$10="NOVEMBRE"),VLOOKUP($B$1,MATRICULE!$A$1:$J$157,9,FALSE)*$B$39,VLOOKUP($B$1,MATRICULE!$A$1:$J$157,9,FALSE))</f>
        <v>3150</v>
      </c>
      <c r="F13" s="10">
        <f>IF(AND($B$5="CDI",$B$10="NOVEMBRE"),VLOOKUP($B$1,MATRICULE!$A$1:$J$157,9,FALSE)*$B$39,VLOOKUP($B$1,MATRICULE!$A$1:$J$157,9,FALSE))</f>
        <v>3150</v>
      </c>
      <c r="G13" s="10">
        <f>IF(AND($B$5="CDI",$B$10="NOVEMBRE"),VLOOKUP($B$1,MATRICULE!$A$1:$J$157,9,FALSE)*$B$39,VLOOKUP($B$1,MATRICULE!$A$1:$J$157,9,FALSE))</f>
        <v>3150</v>
      </c>
      <c r="H13" s="10">
        <f>IF(AND($B$5="CDI",$B$10="NOVEMBRE"),VLOOKUP($B$1,MATRICULE!$A$1:$J$157,9,FALSE)*$B$39,VLOOKUP($B$1,MATRICULE!$A$1:$J$157,9,FALSE))</f>
        <v>3150</v>
      </c>
      <c r="I13" s="10">
        <f>IF(AND($B$5="CDI",$B$10="NOVEMBRE"),VLOOKUP($B$1,MATRICULE!$A$1:$J$157,9,FALSE)*$B$39,VLOOKUP($B$1,MATRICULE!$A$1:$J$157,9,FALSE))</f>
        <v>3150</v>
      </c>
      <c r="J13" s="10">
        <f>IF(AND($B$5="CDI",$B$10="NOVEMBRE"),VLOOKUP($B$1,MATRICULE!$A$1:$J$157,9,FALSE)*$B$39,IF(AND($B$5="CDI",$B$10="JUILLET"),VLOOKUP($B$1,MATRICULE!$A$1:$J$157,9,FALSE)*$B$40,VLOOKUP($B$1,MATRICULE!$A$1:$J$157,9,FALSE)))</f>
        <v>3150</v>
      </c>
      <c r="K13" s="10">
        <f>IF(AND($B$5="CDI",$B$10="NOVEMBRE"),VLOOKUP($B$1,MATRICULE!$A$1:$J$157,9,FALSE)*$B$39,IF(AND($B$5="CDI",$B$10="JUILLET"),VLOOKUP($B$1,MATRICULE!$A$1:$J$157,9,FALSE)*$B$40,VLOOKUP($B$1,MATRICULE!$A$1:$J$157,9,FALSE)))</f>
        <v>3150</v>
      </c>
      <c r="L13" s="10">
        <f>IF(AND($B$5="CDI",$B$10="NOVEMBRE"),VLOOKUP($B$1,MATRICULE!$A$1:$J$157,9,FALSE)*$B$39,IF(AND($B$5="CDI",$B$10="JUILLET"),VLOOKUP($B$1,MATRICULE!$A$1:$J$157,9,FALSE)*$B$40,VLOOKUP($B$1,MATRICULE!$A$1:$J$157,9,FALSE)))</f>
        <v>3150</v>
      </c>
      <c r="M13" s="10">
        <f>IF(AND($B$5="CDI",$B$10="NOVEMBRE"),VLOOKUP($B$1,MATRICULE!$A$1:$J$157,9,FALSE)*$B$39,IF(AND($B$5="CDI",$B$10="JUILLET"),VLOOKUP($B$1,MATRICULE!$A$1:$J$157,9,FALSE)*$B$40,VLOOKUP($B$1,MATRICULE!$A$1:$J$157,9,FALSE)))</f>
        <v>3150</v>
      </c>
      <c r="N13" s="18">
        <f>SUM(B13:M13)</f>
        <v>37800</v>
      </c>
    </row>
    <row r="14" spans="1:14" x14ac:dyDescent="0.25">
      <c r="A14" t="s">
        <v>1</v>
      </c>
      <c r="B14" s="11">
        <f t="shared" ref="B14:M14" si="0">IF($B$6="CADRE",0,IF(DATEDIF($B$8,B12,"m")&lt;36,0,IF(DATEDIF($B$8,B12,"m")&lt;48,$B$44*$B$7*3%,IF(DATEDIF($B$8,B12,"m")&lt;60,$B$44*$B$7*4%,IF(DATEDIF($B$8,B12,"m")&lt;72,$B$44*$B$7*5%,IF(DATEDIF($B$8,B12,"m")&lt;84,$B$44*$B$7*6%,IF(DATEDIF($B$8,B12,"m")&lt;96,$B$44*$B$7*7%,IF(DATEDIF($B$8,B12,"m")&lt;108,$B$44*$B$7*8%,IF(DATEDIF($B$8,B12,"m")&lt;120,$B$44*$B$7*9%,IF(DATEDIF($B$8,B12,"m")&lt;132,$B$44*$B$7*10%,IF(DATEDIF($B$8,B12,"m")&lt;144,$B$44*$B$7*11%,IF(DATEDIF($B$8,B12,"m")&lt;156,$B$44*$B$7*12%,IF(DATEDIF($B$8,B12,"m")&lt;168,$B$44*$B$7*13%,IF(DATEDIF($B$8,B12,"m")&lt;180,$B$44*$B$7*14%,IF(DATEDIF($B$8,B12,"m")&gt;180,$B$44*$B$7*15%,0)))))))))))))))</f>
        <v>0</v>
      </c>
      <c r="C14" s="11">
        <f t="shared" si="0"/>
        <v>0</v>
      </c>
      <c r="D14" s="11">
        <f t="shared" si="0"/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  <c r="I14" s="11">
        <f t="shared" si="0"/>
        <v>0</v>
      </c>
      <c r="J14" s="11">
        <f t="shared" si="0"/>
        <v>0</v>
      </c>
      <c r="K14" s="11">
        <f t="shared" si="0"/>
        <v>0</v>
      </c>
      <c r="L14" s="11">
        <f t="shared" si="0"/>
        <v>0</v>
      </c>
      <c r="M14" s="11">
        <f t="shared" si="0"/>
        <v>0</v>
      </c>
      <c r="N14" s="18">
        <f t="shared" ref="N14:N21" si="1">SUM(B14:M14)</f>
        <v>0</v>
      </c>
    </row>
    <row r="15" spans="1:14" x14ac:dyDescent="0.25">
      <c r="A15" t="s">
        <v>5</v>
      </c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  <c r="N15" s="18">
        <f t="shared" si="1"/>
        <v>0</v>
      </c>
    </row>
    <row r="16" spans="1:14" x14ac:dyDescent="0.25">
      <c r="A16" t="s">
        <v>36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  <c r="N16" s="18"/>
    </row>
    <row r="17" spans="1:14" x14ac:dyDescent="0.25">
      <c r="A17" t="s">
        <v>7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18">
        <f t="shared" si="1"/>
        <v>0</v>
      </c>
    </row>
    <row r="18" spans="1:14" x14ac:dyDescent="0.25">
      <c r="A18" t="s">
        <v>8</v>
      </c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8">
        <f t="shared" si="1"/>
        <v>0</v>
      </c>
    </row>
    <row r="19" spans="1:14" x14ac:dyDescent="0.25">
      <c r="A19" t="s">
        <v>32</v>
      </c>
      <c r="B19" s="11">
        <f t="shared" ref="B19:M19" si="2">IF($B$5="CDD",(B13+B18)*10%,0)</f>
        <v>0</v>
      </c>
      <c r="C19" s="11">
        <f t="shared" si="2"/>
        <v>0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  <c r="I19" s="11">
        <f t="shared" si="2"/>
        <v>0</v>
      </c>
      <c r="J19" s="11">
        <f t="shared" si="2"/>
        <v>0</v>
      </c>
      <c r="K19" s="11">
        <f t="shared" si="2"/>
        <v>0</v>
      </c>
      <c r="L19" s="11">
        <f t="shared" si="2"/>
        <v>0</v>
      </c>
      <c r="M19" s="11">
        <f t="shared" si="2"/>
        <v>0</v>
      </c>
      <c r="N19" s="18">
        <f t="shared" si="1"/>
        <v>0</v>
      </c>
    </row>
    <row r="20" spans="1:14" ht="15.75" thickBot="1" x14ac:dyDescent="0.3">
      <c r="A20" t="s">
        <v>9</v>
      </c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  <c r="N20" s="18">
        <f>SUM(B20:M20)</f>
        <v>0</v>
      </c>
    </row>
    <row r="21" spans="1:14" s="3" customFormat="1" ht="15.75" thickBot="1" x14ac:dyDescent="0.3">
      <c r="A21" s="2" t="s">
        <v>2</v>
      </c>
      <c r="B21" s="15">
        <f>SUM(B13:B19)-B16</f>
        <v>3150</v>
      </c>
      <c r="C21" s="15">
        <f t="shared" ref="C21:M21" si="3">SUM(C13:C19)-C16</f>
        <v>3150</v>
      </c>
      <c r="D21" s="15">
        <f t="shared" si="3"/>
        <v>3150</v>
      </c>
      <c r="E21" s="15">
        <f t="shared" si="3"/>
        <v>3150</v>
      </c>
      <c r="F21" s="15">
        <f t="shared" si="3"/>
        <v>3150</v>
      </c>
      <c r="G21" s="15">
        <f t="shared" si="3"/>
        <v>3150</v>
      </c>
      <c r="H21" s="15">
        <f t="shared" si="3"/>
        <v>3150</v>
      </c>
      <c r="I21" s="15">
        <f t="shared" si="3"/>
        <v>3150</v>
      </c>
      <c r="J21" s="15">
        <f t="shared" si="3"/>
        <v>3150</v>
      </c>
      <c r="K21" s="15">
        <f t="shared" si="3"/>
        <v>3150</v>
      </c>
      <c r="L21" s="15">
        <f t="shared" si="3"/>
        <v>3150</v>
      </c>
      <c r="M21" s="15">
        <f t="shared" si="3"/>
        <v>3150</v>
      </c>
      <c r="N21" s="16">
        <f t="shared" si="1"/>
        <v>37800</v>
      </c>
    </row>
    <row r="22" spans="1:14" x14ac:dyDescent="0.25">
      <c r="A22" t="s">
        <v>13</v>
      </c>
      <c r="B22" s="11">
        <f t="shared" ref="B22:M22" si="4">IF($B$6="CADRE",B21*$B$33,B21*$B$34)</f>
        <v>1417.5</v>
      </c>
      <c r="C22" s="11">
        <f t="shared" si="4"/>
        <v>1417.5</v>
      </c>
      <c r="D22" s="11">
        <f t="shared" si="4"/>
        <v>1417.5</v>
      </c>
      <c r="E22" s="11">
        <f t="shared" si="4"/>
        <v>1417.5</v>
      </c>
      <c r="F22" s="11">
        <f t="shared" si="4"/>
        <v>1417.5</v>
      </c>
      <c r="G22" s="11">
        <f t="shared" si="4"/>
        <v>1417.5</v>
      </c>
      <c r="H22" s="11">
        <f t="shared" si="4"/>
        <v>1417.5</v>
      </c>
      <c r="I22" s="11">
        <f t="shared" si="4"/>
        <v>1417.5</v>
      </c>
      <c r="J22" s="11">
        <f t="shared" si="4"/>
        <v>1417.5</v>
      </c>
      <c r="K22" s="11">
        <f t="shared" si="4"/>
        <v>1417.5</v>
      </c>
      <c r="L22" s="11">
        <f t="shared" si="4"/>
        <v>1417.5</v>
      </c>
      <c r="M22" s="11">
        <f t="shared" si="4"/>
        <v>1417.5</v>
      </c>
      <c r="N22" s="18">
        <f t="shared" ref="N22:N25" si="5">SUM(B22:M22)</f>
        <v>17010</v>
      </c>
    </row>
    <row r="23" spans="1:14" ht="15.75" thickBot="1" x14ac:dyDescent="0.3">
      <c r="A23" t="s">
        <v>3</v>
      </c>
      <c r="B23" s="11">
        <f t="shared" ref="B23:M23" si="6">IF($B$9=0,0,VLOOKUP($B$9,$A$36:$B$38,2,FALSE))</f>
        <v>31.63</v>
      </c>
      <c r="C23" s="11">
        <f t="shared" si="6"/>
        <v>31.63</v>
      </c>
      <c r="D23" s="11">
        <f t="shared" si="6"/>
        <v>31.63</v>
      </c>
      <c r="E23" s="11">
        <f t="shared" si="6"/>
        <v>31.63</v>
      </c>
      <c r="F23" s="11">
        <f t="shared" si="6"/>
        <v>31.63</v>
      </c>
      <c r="G23" s="11">
        <f t="shared" si="6"/>
        <v>31.63</v>
      </c>
      <c r="H23" s="11">
        <f t="shared" si="6"/>
        <v>31.63</v>
      </c>
      <c r="I23" s="11">
        <f t="shared" si="6"/>
        <v>31.63</v>
      </c>
      <c r="J23" s="11">
        <f t="shared" si="6"/>
        <v>31.63</v>
      </c>
      <c r="K23" s="11">
        <f t="shared" si="6"/>
        <v>31.63</v>
      </c>
      <c r="L23" s="11">
        <f t="shared" si="6"/>
        <v>31.63</v>
      </c>
      <c r="M23" s="11">
        <f t="shared" si="6"/>
        <v>31.63</v>
      </c>
      <c r="N23" s="18">
        <f>SUM(B23:M23)</f>
        <v>379.56</v>
      </c>
    </row>
    <row r="24" spans="1:14" ht="15.75" thickBot="1" x14ac:dyDescent="0.3">
      <c r="A24" s="19" t="s">
        <v>15</v>
      </c>
      <c r="B24" s="14">
        <f t="shared" ref="B24:M24" si="7">B22+B23</f>
        <v>1449.13</v>
      </c>
      <c r="C24" s="14">
        <f t="shared" si="7"/>
        <v>1449.13</v>
      </c>
      <c r="D24" s="14">
        <f t="shared" si="7"/>
        <v>1449.13</v>
      </c>
      <c r="E24" s="14">
        <f t="shared" si="7"/>
        <v>1449.13</v>
      </c>
      <c r="F24" s="14">
        <f t="shared" si="7"/>
        <v>1449.13</v>
      </c>
      <c r="G24" s="14">
        <f t="shared" si="7"/>
        <v>1449.13</v>
      </c>
      <c r="H24" s="14">
        <f t="shared" si="7"/>
        <v>1449.13</v>
      </c>
      <c r="I24" s="14">
        <f t="shared" si="7"/>
        <v>1449.13</v>
      </c>
      <c r="J24" s="14">
        <f t="shared" si="7"/>
        <v>1449.13</v>
      </c>
      <c r="K24" s="14">
        <f t="shared" si="7"/>
        <v>1449.13</v>
      </c>
      <c r="L24" s="14">
        <f t="shared" si="7"/>
        <v>1449.13</v>
      </c>
      <c r="M24" s="14">
        <f t="shared" si="7"/>
        <v>1449.13</v>
      </c>
      <c r="N24" s="16">
        <f>SUM(B24:M24)</f>
        <v>17389.560000000005</v>
      </c>
    </row>
    <row r="25" spans="1:14" ht="15.75" thickBot="1" x14ac:dyDescent="0.3">
      <c r="A25" t="s">
        <v>14</v>
      </c>
      <c r="B25" s="11">
        <f t="shared" ref="B25:M25" si="8">B21*$B$35</f>
        <v>85.995000000000005</v>
      </c>
      <c r="C25" s="11">
        <f t="shared" si="8"/>
        <v>85.995000000000005</v>
      </c>
      <c r="D25" s="11">
        <f t="shared" si="8"/>
        <v>85.995000000000005</v>
      </c>
      <c r="E25" s="11">
        <f t="shared" si="8"/>
        <v>85.995000000000005</v>
      </c>
      <c r="F25" s="11">
        <f t="shared" si="8"/>
        <v>85.995000000000005</v>
      </c>
      <c r="G25" s="11">
        <f t="shared" si="8"/>
        <v>85.995000000000005</v>
      </c>
      <c r="H25" s="11">
        <f t="shared" si="8"/>
        <v>85.995000000000005</v>
      </c>
      <c r="I25" s="11">
        <f t="shared" si="8"/>
        <v>85.995000000000005</v>
      </c>
      <c r="J25" s="11">
        <f t="shared" si="8"/>
        <v>85.995000000000005</v>
      </c>
      <c r="K25" s="11">
        <f t="shared" si="8"/>
        <v>85.995000000000005</v>
      </c>
      <c r="L25" s="11">
        <f t="shared" si="8"/>
        <v>85.995000000000005</v>
      </c>
      <c r="M25" s="11">
        <f t="shared" si="8"/>
        <v>85.995000000000005</v>
      </c>
      <c r="N25" s="18">
        <f t="shared" si="5"/>
        <v>1031.94</v>
      </c>
    </row>
    <row r="26" spans="1:14" s="3" customFormat="1" ht="15.75" thickBot="1" x14ac:dyDescent="0.3">
      <c r="A26" s="2" t="s">
        <v>4</v>
      </c>
      <c r="B26" s="14">
        <f t="shared" ref="B26:M26" si="9">B21+B24+B25+B20</f>
        <v>4685.125</v>
      </c>
      <c r="C26" s="14">
        <f t="shared" si="9"/>
        <v>4685.125</v>
      </c>
      <c r="D26" s="14">
        <f t="shared" si="9"/>
        <v>4685.125</v>
      </c>
      <c r="E26" s="14">
        <f t="shared" si="9"/>
        <v>4685.125</v>
      </c>
      <c r="F26" s="14">
        <f t="shared" si="9"/>
        <v>4685.125</v>
      </c>
      <c r="G26" s="14">
        <f t="shared" si="9"/>
        <v>4685.125</v>
      </c>
      <c r="H26" s="14">
        <f t="shared" si="9"/>
        <v>4685.125</v>
      </c>
      <c r="I26" s="14">
        <f t="shared" si="9"/>
        <v>4685.125</v>
      </c>
      <c r="J26" s="14">
        <f t="shared" si="9"/>
        <v>4685.125</v>
      </c>
      <c r="K26" s="14">
        <f t="shared" si="9"/>
        <v>4685.125</v>
      </c>
      <c r="L26" s="14">
        <f t="shared" si="9"/>
        <v>4685.125</v>
      </c>
      <c r="M26" s="14">
        <f t="shared" si="9"/>
        <v>4685.125</v>
      </c>
      <c r="N26" s="16">
        <f>SUM(B26:M26)</f>
        <v>56221.5</v>
      </c>
    </row>
    <row r="29" spans="1:14" hidden="1" x14ac:dyDescent="0.25"/>
    <row r="30" spans="1:14" hidden="1" x14ac:dyDescent="0.25"/>
    <row r="31" spans="1:14" hidden="1" x14ac:dyDescent="0.25"/>
    <row r="33" spans="1:2" x14ac:dyDescent="0.25">
      <c r="A33" s="1" t="s">
        <v>11</v>
      </c>
      <c r="B33" s="7">
        <v>0.45</v>
      </c>
    </row>
    <row r="34" spans="1:2" x14ac:dyDescent="0.25">
      <c r="A34" s="1" t="s">
        <v>12</v>
      </c>
      <c r="B34" s="7">
        <v>0.23</v>
      </c>
    </row>
    <row r="35" spans="1:2" x14ac:dyDescent="0.25">
      <c r="A35" s="1" t="s">
        <v>10</v>
      </c>
      <c r="B35" s="8">
        <v>2.7300000000000001E-2</v>
      </c>
    </row>
    <row r="36" spans="1:2" x14ac:dyDescent="0.25">
      <c r="A36" s="1" t="s">
        <v>26</v>
      </c>
      <c r="B36" s="9">
        <v>55.87</v>
      </c>
    </row>
    <row r="37" spans="1:2" x14ac:dyDescent="0.25">
      <c r="A37" s="1" t="s">
        <v>27</v>
      </c>
      <c r="B37" s="9">
        <v>77.12</v>
      </c>
    </row>
    <row r="38" spans="1:2" x14ac:dyDescent="0.25">
      <c r="A38" s="1" t="s">
        <v>23</v>
      </c>
      <c r="B38" s="9">
        <v>31.63</v>
      </c>
    </row>
    <row r="39" spans="1:2" x14ac:dyDescent="0.25">
      <c r="A39" s="1" t="s">
        <v>29</v>
      </c>
      <c r="B39" s="30">
        <v>1.05</v>
      </c>
    </row>
    <row r="40" spans="1:2" x14ac:dyDescent="0.25">
      <c r="A40" s="1" t="s">
        <v>30</v>
      </c>
      <c r="B40" s="30">
        <v>1.02</v>
      </c>
    </row>
    <row r="41" spans="1:2" x14ac:dyDescent="0.25">
      <c r="A41" s="4" t="s">
        <v>33</v>
      </c>
      <c r="B41" s="9">
        <v>1430.22</v>
      </c>
    </row>
    <row r="42" spans="1:2" x14ac:dyDescent="0.25">
      <c r="A42" s="4" t="s">
        <v>37</v>
      </c>
      <c r="B42" s="29"/>
    </row>
    <row r="43" spans="1:2" x14ac:dyDescent="0.25">
      <c r="A43" s="4" t="s">
        <v>38</v>
      </c>
      <c r="B43" s="29"/>
    </row>
    <row r="44" spans="1:2" x14ac:dyDescent="0.25">
      <c r="A44" s="4" t="s">
        <v>28</v>
      </c>
      <c r="B44" s="9">
        <v>5.39</v>
      </c>
    </row>
    <row r="45" spans="1:2" x14ac:dyDescent="0.25">
      <c r="B45" s="20"/>
    </row>
    <row r="46" spans="1:2" x14ac:dyDescent="0.25">
      <c r="B46" s="20"/>
    </row>
    <row r="47" spans="1:2" x14ac:dyDescent="0.25">
      <c r="B47" s="20"/>
    </row>
  </sheetData>
  <sheetProtection password="F946" sheet="1" objects="1" scenarios="1" selectLockedCells="1"/>
  <sortState ref="A34:B36">
    <sortCondition ref="A34:A36"/>
  </sortState>
  <dataValidations count="1">
    <dataValidation type="list" allowBlank="1" showInputMessage="1" showErrorMessage="1" sqref="B10">
      <formula1>"NOVEMBRE,JUILLET,AUCUN"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MATRICULE</vt:lpstr>
      <vt:lpstr>PRIME+HEURES SUP</vt:lpstr>
      <vt:lpstr>CDI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porcheron</dc:creator>
  <cp:lastModifiedBy>Bastien CANTON</cp:lastModifiedBy>
  <cp:lastPrinted>2013-08-26T12:37:10Z</cp:lastPrinted>
  <dcterms:created xsi:type="dcterms:W3CDTF">2013-08-20T13:00:10Z</dcterms:created>
  <dcterms:modified xsi:type="dcterms:W3CDTF">2013-09-26T07:18:32Z</dcterms:modified>
</cp:coreProperties>
</file>