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Jours_Fériés" sheetId="15" r:id="rId1"/>
    <sheet name="Jours_Ouvrés" sheetId="16" r:id="rId2"/>
    <sheet name="Sept_N-1" sheetId="1" r:id="rId3"/>
    <sheet name="Oct_N-1" sheetId="2" r:id="rId4"/>
    <sheet name="Nov_N-1" sheetId="3" r:id="rId5"/>
    <sheet name="Dec_N-1" sheetId="4" r:id="rId6"/>
    <sheet name="Janv_N" sheetId="5" r:id="rId7"/>
    <sheet name="Fevr_N" sheetId="6" r:id="rId8"/>
    <sheet name="Mars_N" sheetId="7" r:id="rId9"/>
    <sheet name="Avril_N" sheetId="8" r:id="rId10"/>
    <sheet name="Mai_N" sheetId="9" r:id="rId11"/>
    <sheet name="Juin_N" sheetId="10" r:id="rId12"/>
    <sheet name="Juillet_N" sheetId="11" r:id="rId13"/>
    <sheet name="Aout_N" sheetId="12" r:id="rId14"/>
    <sheet name="CUMUL" sheetId="13" r:id="rId15"/>
  </sheets>
  <definedNames>
    <definedName name="Armistice">Jours_Fériés!$D$21</definedName>
    <definedName name="Ascension">Jours_Fériés!$D$15</definedName>
    <definedName name="Assomption">Jours_Fériés!$D$19</definedName>
    <definedName name="FêteDuTravail">Jours_Fériés!$D$13</definedName>
    <definedName name="FêteNationale">Jours_Fériés!$D$18</definedName>
    <definedName name="LundiDePaques">Jours_Fériés!$D$12</definedName>
    <definedName name="LundiDePentecôte">Jours_Fériés!$D$17</definedName>
    <definedName name="N_Armistice">Jours_Fériés!$I$21</definedName>
    <definedName name="N_Ascension">Jours_Fériés!$I$15</definedName>
    <definedName name="N_Assomption">Jours_Fériés!$I$19</definedName>
    <definedName name="N_FêteDuTravail">Jours_Fériés!$I$13</definedName>
    <definedName name="N_FêteNationale">Jours_Fériés!$I$18</definedName>
    <definedName name="N_LundiDePaques">Jours_Fériés!$I$12</definedName>
    <definedName name="N_LundiDePencôte">Jours_Fériés!$I$17</definedName>
    <definedName name="N_Noel">Jours_Fériés!$I$22</definedName>
    <definedName name="N_Paques">Jours_Fériés!$I$11</definedName>
    <definedName name="N_Pentecôte">Jours_Fériés!$I$16</definedName>
    <definedName name="N_PremierDelAn">Jours_Fériés!$I$10</definedName>
    <definedName name="N_Toussaint">Jours_Fériés!$I$20</definedName>
    <definedName name="N_Victoire1945">Jours_Fériés!$I$14</definedName>
    <definedName name="Noel">Jours_Fériés!$D$22</definedName>
    <definedName name="Paques">Jours_Fériés!$D$11</definedName>
    <definedName name="Pâques">Jours_Fériés!$D$11</definedName>
    <definedName name="Pentecôte">Jours_Fériés!$D$16</definedName>
    <definedName name="PremierDelAn">Jours_Fériés!$D$10</definedName>
    <definedName name="PremierDelAn_N">Jours_Fériés!$I$10</definedName>
    <definedName name="Saisir_Année">Jours_Fériés!$D$9</definedName>
    <definedName name="Saisir_Année2">Tableau532[[#Headers],[2015]]</definedName>
    <definedName name="Toussaint">Jours_Fériés!$D$20</definedName>
    <definedName name="Victoire1945">Jours_Fériés!$D$14</definedName>
  </definedNames>
  <calcPr calcId="145621"/>
</workbook>
</file>

<file path=xl/calcChain.xml><?xml version="1.0" encoding="utf-8"?>
<calcChain xmlns="http://schemas.openxmlformats.org/spreadsheetml/2006/main">
  <c r="K17" i="16" l="1"/>
  <c r="J7" i="16"/>
  <c r="J9" i="16"/>
  <c r="K10" i="16"/>
  <c r="K7" i="16"/>
  <c r="K19" i="16" s="1"/>
  <c r="K8" i="16"/>
  <c r="J8" i="16" s="1"/>
  <c r="K9" i="16"/>
  <c r="K11" i="16"/>
  <c r="J11" i="16" s="1"/>
  <c r="K12" i="16"/>
  <c r="J12" i="16" s="1"/>
  <c r="K13" i="16"/>
  <c r="J13" i="16" s="1"/>
  <c r="K14" i="16"/>
  <c r="J14" i="16" s="1"/>
  <c r="K15" i="16"/>
  <c r="J15" i="16" s="1"/>
  <c r="K16" i="16"/>
  <c r="J16" i="16" s="1"/>
  <c r="J17" i="16"/>
  <c r="K18" i="16"/>
  <c r="J18" i="16" s="1"/>
  <c r="I18" i="16"/>
  <c r="I17" i="16"/>
  <c r="I16" i="16"/>
  <c r="I15" i="16"/>
  <c r="I14" i="16"/>
  <c r="I13" i="16"/>
  <c r="I12" i="16"/>
  <c r="I11" i="16"/>
  <c r="I10" i="16"/>
  <c r="J10" i="16" s="1"/>
  <c r="I9" i="16"/>
  <c r="I8" i="16"/>
  <c r="I7" i="16"/>
  <c r="I19" i="16" s="1"/>
  <c r="D8" i="16"/>
  <c r="D10" i="16"/>
  <c r="D12" i="16"/>
  <c r="D14" i="16"/>
  <c r="D15" i="16"/>
  <c r="D16" i="16"/>
  <c r="D18" i="16"/>
  <c r="E19" i="16"/>
  <c r="E7" i="16"/>
  <c r="D24" i="16"/>
  <c r="C18" i="16"/>
  <c r="C17" i="16"/>
  <c r="D17" i="16" s="1"/>
  <c r="C16" i="16"/>
  <c r="C14" i="16"/>
  <c r="C13" i="16"/>
  <c r="D13" i="16" s="1"/>
  <c r="C15" i="16"/>
  <c r="C12" i="16"/>
  <c r="C11" i="16"/>
  <c r="D11" i="16" s="1"/>
  <c r="C10" i="16"/>
  <c r="E8" i="16"/>
  <c r="E9" i="16"/>
  <c r="E10" i="16"/>
  <c r="E11" i="16"/>
  <c r="E12" i="16"/>
  <c r="E13" i="16"/>
  <c r="E14" i="16"/>
  <c r="E15" i="16"/>
  <c r="E16" i="16"/>
  <c r="E17" i="16"/>
  <c r="E18" i="16"/>
  <c r="C9" i="16"/>
  <c r="D9" i="16" s="1"/>
  <c r="C8" i="16"/>
  <c r="C7" i="16"/>
  <c r="C19" i="16" s="1"/>
  <c r="J35" i="16"/>
  <c r="J34" i="16"/>
  <c r="J33" i="16"/>
  <c r="J32" i="16"/>
  <c r="J31" i="16"/>
  <c r="J30" i="16"/>
  <c r="J29" i="16"/>
  <c r="J28" i="16"/>
  <c r="J27" i="16"/>
  <c r="J26" i="16"/>
  <c r="J25" i="16"/>
  <c r="J24" i="16"/>
  <c r="D25" i="16"/>
  <c r="D26" i="16"/>
  <c r="D27" i="16"/>
  <c r="D28" i="16"/>
  <c r="D29" i="16"/>
  <c r="D30" i="16"/>
  <c r="D31" i="16"/>
  <c r="D32" i="16"/>
  <c r="D33" i="16"/>
  <c r="D34" i="16"/>
  <c r="D35" i="16"/>
  <c r="J19" i="16" l="1"/>
  <c r="D7" i="16"/>
  <c r="D19" i="16" s="1"/>
  <c r="I22" i="15" l="1"/>
  <c r="I21" i="15"/>
  <c r="I20" i="15"/>
  <c r="I19" i="15"/>
  <c r="N2" i="12" s="1"/>
  <c r="I18" i="15"/>
  <c r="N2" i="11" s="1"/>
  <c r="I17" i="15"/>
  <c r="I16" i="15"/>
  <c r="I15" i="15"/>
  <c r="I14" i="15"/>
  <c r="I13" i="15"/>
  <c r="I12" i="15"/>
  <c r="N2" i="8" s="1"/>
  <c r="I11" i="15"/>
  <c r="N2" i="7" s="1"/>
  <c r="I10" i="15"/>
  <c r="N2" i="5" s="1"/>
  <c r="D10" i="15"/>
  <c r="D11" i="15"/>
  <c r="D12" i="15"/>
  <c r="D13" i="15"/>
  <c r="D14" i="15"/>
  <c r="D15" i="15"/>
  <c r="D16" i="15"/>
  <c r="D17" i="15"/>
  <c r="D18" i="15"/>
  <c r="D19" i="15"/>
  <c r="D20" i="15"/>
  <c r="N2" i="3" s="1"/>
  <c r="D21" i="15"/>
  <c r="D22" i="15"/>
  <c r="N2" i="4" s="1"/>
  <c r="O2" i="1"/>
  <c r="N2" i="1"/>
  <c r="O2" i="2"/>
  <c r="N2" i="2"/>
  <c r="O2" i="3"/>
  <c r="O2" i="4"/>
  <c r="O2" i="5"/>
  <c r="O2" i="6"/>
  <c r="N2" i="6"/>
  <c r="O2" i="7"/>
  <c r="O2" i="8"/>
  <c r="O2" i="9"/>
  <c r="O2" i="10"/>
  <c r="N2" i="10"/>
  <c r="O2" i="11"/>
  <c r="O2" i="12"/>
  <c r="N2" i="9" l="1"/>
</calcChain>
</file>

<file path=xl/sharedStrings.xml><?xml version="1.0" encoding="utf-8"?>
<sst xmlns="http://schemas.openxmlformats.org/spreadsheetml/2006/main" count="281" uniqueCount="57">
  <si>
    <t>DATE</t>
  </si>
  <si>
    <t>PRIX</t>
  </si>
  <si>
    <t>NUM DOSSIER</t>
  </si>
  <si>
    <t>HEURE APPEL</t>
  </si>
  <si>
    <t>HEURE CHARG
REEL</t>
  </si>
  <si>
    <t>HEURE CHARG
 SOUHAITE</t>
  </si>
  <si>
    <t>HEURE LIV 
SOUHAITEE</t>
  </si>
  <si>
    <t>HEURE LIV 
REELLE</t>
  </si>
  <si>
    <t>TYPE PRODUIT</t>
  </si>
  <si>
    <t>SEM/WEEK</t>
  </si>
  <si>
    <t>JOUR/NUIT</t>
  </si>
  <si>
    <t>SITE
CHARGEMENT</t>
  </si>
  <si>
    <t>SERVICE
CHARGEMENT</t>
  </si>
  <si>
    <t>SITE
LIVRAISON</t>
  </si>
  <si>
    <t>SERVICE
LIVRAISON</t>
  </si>
  <si>
    <t>HEURE
APPEL</t>
  </si>
  <si>
    <t>Noel</t>
  </si>
  <si>
    <t>Armistice</t>
  </si>
  <si>
    <t>Toussaint</t>
  </si>
  <si>
    <t>Assomption</t>
  </si>
  <si>
    <t>Fête Nationale</t>
  </si>
  <si>
    <t>Lundi de Pentecôte</t>
  </si>
  <si>
    <t>Pentecôte</t>
  </si>
  <si>
    <t>Ascension</t>
  </si>
  <si>
    <t>Victoire 1945</t>
  </si>
  <si>
    <t>Fête du Travail</t>
  </si>
  <si>
    <t>Lundi de Pâques</t>
  </si>
  <si>
    <t>Pâques</t>
  </si>
  <si>
    <t>Premier de l'An</t>
  </si>
  <si>
    <t>2015</t>
  </si>
  <si>
    <t>Jours Fériés</t>
  </si>
  <si>
    <t>Année N-1</t>
  </si>
  <si>
    <t>Année N</t>
  </si>
  <si>
    <t>2014</t>
  </si>
  <si>
    <t>MOIS</t>
  </si>
  <si>
    <t>JOURS OUVRES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</si>
  <si>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</si>
  <si>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</si>
  <si>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</si>
  <si>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</si>
  <si>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</si>
  <si>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</si>
  <si>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</si>
  <si>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</si>
  <si>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</si>
  <si>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</si>
  <si>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</si>
  <si>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</si>
  <si>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</si>
  <si>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DATE_DEBUT</t>
  </si>
  <si>
    <t>DATE_FIN</t>
  </si>
  <si>
    <t>WEEKEND ET 
JOURS FERIES</t>
  </si>
  <si>
    <t>TOTAL 
JOURS</t>
  </si>
  <si>
    <t>TOTAL
 JOURS</t>
  </si>
  <si>
    <t>L'utilisateur fait varier les années</t>
  </si>
  <si>
    <t>Ici, si l'année 2013 avait été saisie par 
l'utilisateur, on aurait :</t>
  </si>
  <si>
    <t>Comment faire ici pour automatiser le remplissage de la date de début 
et de fin en fonction de l'année saisie par l'utilisateur dans l'onglet "Jours_Fériés"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</si>
</sst>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3" borderId="4" xfId="0" applyFont="1" applyFill="1" applyBorder="1"/>
    <xf numFmtId="0" fontId="0" fillId="6" borderId="0" xfId="0" applyFont="1" applyFill="1" applyAlignment="1">
      <alignment horizontal="left"/>
    </xf>
    <xf numFmtId="14" fontId="0" fillId="6" borderId="0" xfId="0" applyNumberFormat="1" applyFont="1" applyFill="1" applyAlignment="1">
      <alignment horizontal="left"/>
    </xf>
    <xf numFmtId="20" fontId="0" fillId="6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4" borderId="4" xfId="0" applyFont="1" applyFill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4" fontId="0" fillId="3" borderId="5" xfId="0" applyNumberFormat="1" applyFont="1" applyFill="1" applyBorder="1" applyAlignment="1">
      <alignment horizontal="left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9" borderId="9" xfId="0" applyFill="1" applyBorder="1" applyAlignment="1">
      <alignment horizontal="left" vertical="center"/>
    </xf>
    <xf numFmtId="0" fontId="0" fillId="10" borderId="0" xfId="0" applyFill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243"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0" formatCode="General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numFmt numFmtId="19" formatCode="dd/mm/yyyy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-F800]dddd\,\ mmmm\ dd\,\ 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-F800]dddd\,\ mmmm\ dd\,\ 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9525</xdr:rowOff>
    </xdr:from>
    <xdr:to>
      <xdr:col>5</xdr:col>
      <xdr:colOff>266700</xdr:colOff>
      <xdr:row>23</xdr:row>
      <xdr:rowOff>57150</xdr:rowOff>
    </xdr:to>
    <xdr:cxnSp macro="">
      <xdr:nvCxnSpPr>
        <xdr:cNvPr id="3" name="Connecteur droit 2"/>
        <xdr:cNvCxnSpPr/>
      </xdr:nvCxnSpPr>
      <xdr:spPr>
        <a:xfrm>
          <a:off x="4505325" y="9525"/>
          <a:ext cx="9525" cy="46482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28575</xdr:rowOff>
    </xdr:from>
    <xdr:to>
      <xdr:col>6</xdr:col>
      <xdr:colOff>9525</xdr:colOff>
      <xdr:row>35</xdr:row>
      <xdr:rowOff>152400</xdr:rowOff>
    </xdr:to>
    <xdr:cxnSp macro="">
      <xdr:nvCxnSpPr>
        <xdr:cNvPr id="3" name="Connecteur droit 2"/>
        <xdr:cNvCxnSpPr/>
      </xdr:nvCxnSpPr>
      <xdr:spPr>
        <a:xfrm>
          <a:off x="6115050" y="28575"/>
          <a:ext cx="9525" cy="73056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0" name="Tableau5" displayName="Tableau5" ref="C9:D22" totalsRowShown="0" headerRowDxfId="242" dataDxfId="240" headerRowBorderDxfId="241" tableBorderDxfId="239" totalsRowBorderDxfId="238">
  <autoFilter ref="C9:D22"/>
  <tableColumns count="2">
    <tableColumn id="1" name="Jours Fériés" dataDxfId="237"/>
    <tableColumn id="2" name="2014" dataDxfId="236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28" name="Tableau142526272829" displayName="Tableau142526272829" ref="A1:O2" totalsRowShown="0" headerRowDxfId="133" dataDxfId="131" headerRowBorderDxfId="132" tableBorderDxfId="130">
  <autoFilter ref="A1:O2"/>
  <tableColumns count="15">
    <tableColumn id="1" name="NUM DOSSIER" dataDxfId="129"/>
    <tableColumn id="2" name="DATE" dataDxfId="128"/>
    <tableColumn id="3" name="SITE_x000a_CHARGEMENT" dataDxfId="127"/>
    <tableColumn id="4" name="SERVICE_x000a_CHARGEMENT" dataDxfId="126"/>
    <tableColumn id="5" name="SITE_x000a_LIVRAISON" dataDxfId="125"/>
    <tableColumn id="6" name="SERVICE_x000a_LIVRAISON" dataDxfId="124"/>
    <tableColumn id="7" name="HEURE_x000a_APPEL" dataDxfId="123"/>
    <tableColumn id="8" name="HEURE CHARG_x000a_ SOUHAITE" dataDxfId="122"/>
    <tableColumn id="9" name="HEURE CHARG_x000a_REEL" dataDxfId="121"/>
    <tableColumn id="10" name="HEURE LIV _x000a_SOUHAITEE" dataDxfId="120"/>
    <tableColumn id="11" name="HEURE LIV _x000a_REELLE" dataDxfId="119"/>
    <tableColumn id="17" name="TYPE PRODUIT" dataDxfId="118"/>
    <tableColumn id="19" name="PRIX" dataDxfId="117"/>
    <tableColumn id="20" name="SEM/WEEK" dataDxfId="116">
      <calculatedColumnFormula>IF(OR(B2=DATE(2015,1,1),WEEKDAY(B2,2)=6,WEEKDAY(B2,2)=7),"WEEKEND","SEMAINE")</calculatedColumnFormula>
    </tableColumn>
    <tableColumn id="21" name="JOUR/NUIT" dataDxfId="115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id="29" name="Tableau142526272830" displayName="Tableau142526272830" ref="A1:O2" totalsRowShown="0" headerRowDxfId="114" dataDxfId="112" headerRowBorderDxfId="113" tableBorderDxfId="111">
  <autoFilter ref="A1:O2"/>
  <tableColumns count="15">
    <tableColumn id="1" name="NUM DOSSIER" dataDxfId="110"/>
    <tableColumn id="2" name="DATE" dataDxfId="109"/>
    <tableColumn id="3" name="SITE_x000a_CHARGEMENT" dataDxfId="108"/>
    <tableColumn id="4" name="SERVICE_x000a_CHARGEMENT" dataDxfId="107"/>
    <tableColumn id="5" name="SITE_x000a_LIVRAISON" dataDxfId="106"/>
    <tableColumn id="6" name="SERVICE_x000a_LIVRAISON" dataDxfId="105"/>
    <tableColumn id="7" name="HEURE_x000a_APPEL" dataDxfId="104"/>
    <tableColumn id="8" name="HEURE CHARG_x000a_ SOUHAITE" dataDxfId="103"/>
    <tableColumn id="9" name="HEURE CHARG_x000a_REEL" dataDxfId="102"/>
    <tableColumn id="10" name="HEURE LIV _x000a_SOUHAITEE" dataDxfId="101"/>
    <tableColumn id="11" name="HEURE LIV _x000a_REELLE" dataDxfId="100"/>
    <tableColumn id="17" name="TYPE PRODUIT" dataDxfId="99"/>
    <tableColumn id="19" name="PRIX" dataDxfId="98"/>
    <tableColumn id="20" name="SEM/WEEK" dataDxfId="97">
      <calculatedColumnFormula>IF(OR(B2=N_Paques,WEEKDAY(B2,2)=6,WEEKDAY(B2,2)=7),"WEEKEND","SEMAINE")</calculatedColumnFormula>
    </tableColumn>
    <tableColumn id="21" name="JOUR/NUIT" dataDxfId="96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id="19" name="Tableau1420" displayName="Tableau1420" ref="A1:O2" totalsRowShown="0" headerRowDxfId="95" dataDxfId="93" headerRowBorderDxfId="94" tableBorderDxfId="92">
  <autoFilter ref="A1:O2"/>
  <tableColumns count="15">
    <tableColumn id="1" name="NUM DOSSIER" dataDxfId="91"/>
    <tableColumn id="2" name="DATE" dataDxfId="90"/>
    <tableColumn id="3" name="SITE_x000a_CHARGEMENT" dataDxfId="89"/>
    <tableColumn id="4" name="SERVICE_x000a_CHARGEMENT" dataDxfId="88"/>
    <tableColumn id="5" name="SITE_x000a_LIVRAISON" dataDxfId="87"/>
    <tableColumn id="6" name="SERVICE_x000a_LIVRAISON" dataDxfId="86"/>
    <tableColumn id="7" name="HEURE_x000a_APPEL" dataDxfId="85"/>
    <tableColumn id="8" name="HEURE CHARG_x000a_ SOUHAITE" dataDxfId="84"/>
    <tableColumn id="9" name="HEURE CHARG_x000a_REEL" dataDxfId="83"/>
    <tableColumn id="10" name="HEURE LIV _x000a_SOUHAITEE" dataDxfId="82"/>
    <tableColumn id="11" name="HEURE LIV _x000a_REELLE" dataDxfId="81"/>
    <tableColumn id="17" name="TYPE PRODUIT" dataDxfId="80"/>
    <tableColumn id="19" name="PRIX" dataDxfId="79"/>
    <tableColumn id="20" name="SEM/WEEK" dataDxfId="78">
      <calculatedColumnFormula>IF(OR(B2=N_LundiDePaques,WEEKDAY(B2,2)=6,WEEKDAY(B2,2)=7),"WEEKEND","SEMAINE")</calculatedColumnFormula>
    </tableColumn>
    <tableColumn id="21" name="JOUR/NUIT" dataDxfId="77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id="20" name="Tableau1421" displayName="Tableau1421" ref="A1:O2" totalsRowShown="0" headerRowDxfId="76" dataDxfId="74" headerRowBorderDxfId="75" tableBorderDxfId="73">
  <autoFilter ref="A1:O2"/>
  <tableColumns count="15">
    <tableColumn id="1" name="NUM DOSSIER" dataDxfId="72"/>
    <tableColumn id="2" name="DATE" dataDxfId="71"/>
    <tableColumn id="3" name="SITE_x000a_CHARGEMENT" dataDxfId="70"/>
    <tableColumn id="4" name="SERVICE_x000a_CHARGEMENT" dataDxfId="69"/>
    <tableColumn id="5" name="SITE_x000a_LIVRAISON" dataDxfId="68"/>
    <tableColumn id="6" name="SERVICE_x000a_LIVRAISON" dataDxfId="67"/>
    <tableColumn id="7" name="HEURE_x000a_APPEL" dataDxfId="66"/>
    <tableColumn id="8" name="HEURE CHARG_x000a_ SOUHAITE" dataDxfId="65"/>
    <tableColumn id="9" name="HEURE CHARG_x000a_REEL" dataDxfId="64"/>
    <tableColumn id="10" name="HEURE LIV _x000a_SOUHAITEE" dataDxfId="63"/>
    <tableColumn id="11" name="HEURE LIV _x000a_REELLE" dataDxfId="62"/>
    <tableColumn id="17" name="TYPE PRODUIT" dataDxfId="61"/>
    <tableColumn id="19" name="PRIX" dataDxfId="60"/>
    <tableColumn id="20" name="SEM/WEEK" dataDxfId="59">
      <calculatedColumnFormula>IF(OR(B2=N_FêteDuTravail, B2=N_Victoire1945, B2=N_Ascension, B2=N_Pentecôte, B2=N_LundiDePencôte, WEEKDAY(B2,2)=6,WEEKDAY(B2,2)=7),"WEEKEND","SEMAINE")</calculatedColumnFormula>
    </tableColumn>
    <tableColumn id="21" name="JOUR/NUIT" dataDxfId="58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id="21" name="Tableau1422" displayName="Tableau1422" ref="A1:O2" totalsRowShown="0" headerRowDxfId="57" dataDxfId="55" headerRowBorderDxfId="56" tableBorderDxfId="54">
  <autoFilter ref="A1:O2"/>
  <tableColumns count="15">
    <tableColumn id="1" name="NUM DOSSIER" dataDxfId="53"/>
    <tableColumn id="2" name="DATE" dataDxfId="52"/>
    <tableColumn id="3" name="SITE_x000a_CHARGEMENT" dataDxfId="51"/>
    <tableColumn id="4" name="SERVICE_x000a_CHARGEMENT" dataDxfId="50"/>
    <tableColumn id="5" name="SITE_x000a_LIVRAISON" dataDxfId="49"/>
    <tableColumn id="6" name="SERVICE_x000a_LIVRAISON" dataDxfId="48"/>
    <tableColumn id="7" name="HEURE APPEL" dataDxfId="47"/>
    <tableColumn id="8" name="HEURE CHARG_x000a_ SOUHAITE" dataDxfId="46"/>
    <tableColumn id="9" name="HEURE CHARG_x000a_REEL" dataDxfId="45"/>
    <tableColumn id="10" name="HEURE LIV _x000a_SOUHAITEE" dataDxfId="44"/>
    <tableColumn id="11" name="HEURE LIV _x000a_REELLE" dataDxfId="43"/>
    <tableColumn id="17" name="TYPE PRODUIT" dataDxfId="42"/>
    <tableColumn id="19" name="PRIX" dataDxfId="41"/>
    <tableColumn id="20" name="SEM/WEEK" dataDxfId="40">
      <calculatedColumnFormula>IF(OR(B2=DATE(2015,1,1),WEEKDAY(B2,2)=6,WEEKDAY(B2,2)=7),"WEEKEND","SEMAINE")</calculatedColumnFormula>
    </tableColumn>
    <tableColumn id="21" name="JOUR/NUIT" dataDxfId="39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15.xml><?xml version="1.0" encoding="utf-8"?>
<table xmlns="http://schemas.openxmlformats.org/spreadsheetml/2006/main" id="22" name="Tableau1423" displayName="Tableau1423" ref="A1:O2" totalsRowShown="0" headerRowDxfId="38" dataDxfId="36" headerRowBorderDxfId="37" tableBorderDxfId="35">
  <autoFilter ref="A1:O2"/>
  <tableColumns count="15">
    <tableColumn id="1" name="NUM DOSSIER" dataDxfId="34"/>
    <tableColumn id="2" name="DATE" dataDxfId="33"/>
    <tableColumn id="3" name="SITE_x000a_CHARGEMENT" dataDxfId="32"/>
    <tableColumn id="4" name="SERVICE_x000a_CHARGEMENT" dataDxfId="31"/>
    <tableColumn id="5" name="SITE_x000a_LIVRAISON" dataDxfId="30"/>
    <tableColumn id="6" name="SERVICE_x000a_LIVRAISON" dataDxfId="29"/>
    <tableColumn id="7" name="HEURE APPEL" dataDxfId="28"/>
    <tableColumn id="8" name="HEURE CHARG_x000a_ SOUHAITE" dataDxfId="27"/>
    <tableColumn id="9" name="HEURE CHARG_x000a_REEL" dataDxfId="26"/>
    <tableColumn id="10" name="HEURE LIV _x000a_SOUHAITEE" dataDxfId="25"/>
    <tableColumn id="11" name="HEURE LIV _x000a_REELLE" dataDxfId="24"/>
    <tableColumn id="17" name="TYPE PRODUIT" dataDxfId="10"/>
    <tableColumn id="19" name="PRIX" dataDxfId="23"/>
    <tableColumn id="20" name="SEM/WEEK" dataDxfId="22">
      <calculatedColumnFormula>IF(OR(B2=N_FêteNationale,WEEKDAY(B2,2)=6,WEEKDAY(B2,2)=7),"WEEKEND","SEMAINE")</calculatedColumnFormula>
    </tableColumn>
    <tableColumn id="21" name="JOUR/NUIT" dataDxfId="21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id="23" name="Tableau1424" displayName="Tableau1424" ref="A1:O2" totalsRowShown="0" headerRowDxfId="20" headerRowBorderDxfId="19" tableBorderDxfId="18">
  <autoFilter ref="A1:O2"/>
  <tableColumns count="15">
    <tableColumn id="1" name="NUM DOSSIER"/>
    <tableColumn id="2" name="DATE" dataDxfId="17"/>
    <tableColumn id="3" name="SITE_x000a_CHARGEMENT"/>
    <tableColumn id="4" name="SERVICE_x000a_CHARGEMENT"/>
    <tableColumn id="5" name="SITE_x000a_LIVRAISON"/>
    <tableColumn id="6" name="SERVICE_x000a_LIVRAISON"/>
    <tableColumn id="7" name="HEURE_x000a_APPEL" dataDxfId="16"/>
    <tableColumn id="8" name="HEURE CHARG_x000a_ SOUHAITE" dataDxfId="15"/>
    <tableColumn id="9" name="HEURE CHARG_x000a_REEL" dataDxfId="14"/>
    <tableColumn id="10" name="HEURE LIV _x000a_SOUHAITEE" dataDxfId="13"/>
    <tableColumn id="11" name="HEURE LIV _x000a_REELLE" dataDxfId="12"/>
    <tableColumn id="17" name="TYPE PRODUIT"/>
    <tableColumn id="19" name="PRIX"/>
    <tableColumn id="20" name="SEM/WEEK" dataDxfId="11">
      <calculatedColumnFormula>IF(OR(B2=N_Assomption,WEEKDAY(B2,2)=6,WEEKDAY(B2,2)=7),"WEEKEND","SEMAINE")</calculatedColumnFormula>
    </tableColumn>
    <tableColumn id="21" name="JOUR/NUIT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31" name="Tableau532" displayName="Tableau532" ref="H9:I22" totalsRowShown="0" headerRowDxfId="235" dataDxfId="233" headerRowBorderDxfId="234" tableBorderDxfId="232" totalsRowBorderDxfId="231">
  <autoFilter ref="H9:I22"/>
  <tableColumns count="2">
    <tableColumn id="1" name="Jours Fériés" dataDxfId="230"/>
    <tableColumn id="2" name="2015" dataDxfId="229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2" name="Tableau4" displayName="Tableau4" ref="B6:E19" totalsRowShown="0" headerRowDxfId="8">
  <autoFilter ref="B6:E19"/>
  <tableColumns count="4">
    <tableColumn id="1" name="MOIS"/>
    <tableColumn id="2" name="JOURS OUVRES" dataDxfId="6">
      <calculatedColumnFormula>NETWORKDAYS(C24,D24,PremierDelAn)</calculatedColumnFormula>
    </tableColumn>
    <tableColumn id="3" name="WEEKEND ET _x000a_JOURS FERIES" dataDxfId="5">
      <calculatedColumnFormula>Tableau4[[#This Row],[TOTAL 
JOURS]]-Tableau4[[#This Row],[JOURS OUVRES]]</calculatedColumnFormula>
    </tableColumn>
    <tableColumn id="4" name="TOTAL _x000a_JOURS" dataDxfId="9">
      <calculatedColumnFormula>EOMONTH(C24,0)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37" name="Tableau438" displayName="Tableau438" ref="H6:K19" totalsRowShown="0" headerRowDxfId="7">
  <autoFilter ref="H6:K19"/>
  <tableColumns count="4">
    <tableColumn id="1" name="MOIS"/>
    <tableColumn id="2" name="JOURS OUVRES" dataDxfId="4">
      <calculatedColumnFormula>NETWORKDAYS(I24,J24,N_PremierDelAn)</calculatedColumnFormula>
    </tableColumn>
    <tableColumn id="3" name="WEEKEND ET _x000a_JOURS FERIES" dataDxfId="2">
      <calculatedColumnFormula>Tableau438[[#This Row],[TOTAL
 JOURS]]-Tableau438[[#This Row],[JOURS OUVRES]]</calculatedColumnFormula>
    </tableColumn>
    <tableColumn id="4" name="TOTAL_x000a_ JOURS" dataDxfId="3">
      <calculatedColumnFormula>DAY(EOMONTH(I24,0))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14" name="Tableau14" displayName="Tableau14" ref="A1:O2" totalsRowShown="0" headerRowDxfId="228" dataDxfId="226" headerRowBorderDxfId="227" tableBorderDxfId="225">
  <autoFilter ref="A1:O2"/>
  <tableColumns count="15">
    <tableColumn id="1" name="NUM DOSSIER" dataDxfId="224"/>
    <tableColumn id="2" name="DATE" dataDxfId="223"/>
    <tableColumn id="3" name="SITE_x000a_CHARGEMENT" dataDxfId="222"/>
    <tableColumn id="4" name="SERVICE_x000a_CHARGEMENT" dataDxfId="221"/>
    <tableColumn id="5" name="SITE_x000a_LIVRAISON" dataDxfId="220"/>
    <tableColumn id="6" name="SERVICE_x000a_LIVRAISON" dataDxfId="219"/>
    <tableColumn id="7" name="HEURE_x000a_APPEL" dataDxfId="218"/>
    <tableColumn id="8" name="HEURE CHARG_x000a_ SOUHAITE" dataDxfId="217"/>
    <tableColumn id="9" name="HEURE CHARG_x000a_REEL" dataDxfId="216"/>
    <tableColumn id="10" name="HEURE LIV _x000a_SOUHAITEE" dataDxfId="215"/>
    <tableColumn id="11" name="HEURE LIV _x000a_REELLE" dataDxfId="214"/>
    <tableColumn id="17" name="TYPE PRODUIT" dataDxfId="213"/>
    <tableColumn id="19" name="PRIX" dataDxfId="212"/>
    <tableColumn id="20" name="SEM/WEEK" dataDxfId="211">
      <calculatedColumnFormula>IF(OR(B2=DATE(2015,1,1),WEEKDAY(B2,2)=6,WEEKDAY(B2,2)=7),"WEEKEND","SEMAINE")</calculatedColumnFormula>
    </tableColumn>
    <tableColumn id="21" name="JOUR/NUIT" dataDxfId="210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24" name="Tableau1425" displayName="Tableau1425" ref="A1:O2" totalsRowShown="0" headerRowDxfId="209" dataDxfId="207" headerRowBorderDxfId="208" tableBorderDxfId="206">
  <autoFilter ref="A1:O2"/>
  <tableColumns count="15">
    <tableColumn id="1" name="NUM DOSSIER" dataDxfId="205"/>
    <tableColumn id="2" name="DATE" dataDxfId="204"/>
    <tableColumn id="3" name="SITE_x000a_CHARGEMENT" dataDxfId="203"/>
    <tableColumn id="4" name="SERVICE_x000a_CHARGEMENT" dataDxfId="202"/>
    <tableColumn id="5" name="SITE_x000a_LIVRAISON" dataDxfId="201"/>
    <tableColumn id="6" name="SERVICE_x000a_LIVRAISON" dataDxfId="200"/>
    <tableColumn id="7" name="HEURE_x000a_APPEL" dataDxfId="199"/>
    <tableColumn id="8" name="HEURE CHARG_x000a_ SOUHAITE" dataDxfId="198"/>
    <tableColumn id="9" name="HEURE CHARG_x000a_REEL" dataDxfId="197"/>
    <tableColumn id="10" name="HEURE LIV _x000a_SOUHAITEE" dataDxfId="196"/>
    <tableColumn id="11" name="HEURE LIV _x000a_REELLE" dataDxfId="195"/>
    <tableColumn id="17" name="TYPE PRODUIT" dataDxfId="194"/>
    <tableColumn id="19" name="PRIX" dataDxfId="193"/>
    <tableColumn id="20" name="SEM/WEEK" dataDxfId="192">
      <calculatedColumnFormula>IF(OR(B2=DATE(2015,1,1),WEEKDAY(B2,2)=6,WEEKDAY(B2,2)=7),"WEEKEND","SEMAINE")</calculatedColumnFormula>
    </tableColumn>
    <tableColumn id="21" name="JOUR/NUIT" dataDxfId="191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25" name="Tableau142526" displayName="Tableau142526" ref="A1:O2" totalsRowShown="0" headerRowDxfId="190" dataDxfId="188" headerRowBorderDxfId="189" tableBorderDxfId="187">
  <autoFilter ref="A1:O2"/>
  <tableColumns count="15">
    <tableColumn id="1" name="NUM DOSSIER" dataDxfId="186"/>
    <tableColumn id="2" name="DATE" dataDxfId="185"/>
    <tableColumn id="3" name="SITE_x000a_CHARGEMENT" dataDxfId="184"/>
    <tableColumn id="4" name="SERVICE_x000a_CHARGEMENT" dataDxfId="183"/>
    <tableColumn id="5" name="SITE_x000a_LIVRAISON" dataDxfId="182"/>
    <tableColumn id="6" name="SERVICE_x000a_LIVRAISON" dataDxfId="181"/>
    <tableColumn id="7" name="HEURE_x000a_APPEL" dataDxfId="180"/>
    <tableColumn id="8" name="HEURE CHARG_x000a_ SOUHAITE" dataDxfId="179"/>
    <tableColumn id="9" name="HEURE CHARG_x000a_REEL" dataDxfId="178"/>
    <tableColumn id="10" name="HEURE LIV _x000a_SOUHAITEE" dataDxfId="177"/>
    <tableColumn id="11" name="HEURE LIV _x000a_REELLE" dataDxfId="176"/>
    <tableColumn id="17" name="TYPE PRODUIT" dataDxfId="175"/>
    <tableColumn id="19" name="PRIX" dataDxfId="174"/>
    <tableColumn id="20" name="SEM/WEEK" dataDxfId="173">
      <calculatedColumnFormula>IF(OR(B2=Toussaint,B2=Armistice,WEEKDAY(B2,2)=6,WEEKDAY(B2,2)=7),"WEEKEND","SEMAINE")</calculatedColumnFormula>
    </tableColumn>
    <tableColumn id="21" name="JOUR/NUIT" dataDxfId="172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26" name="Tableau14252627" displayName="Tableau14252627" ref="A1:O2" totalsRowShown="0" headerRowDxfId="171" dataDxfId="169" headerRowBorderDxfId="170" tableBorderDxfId="168">
  <autoFilter ref="A1:O2"/>
  <tableColumns count="15">
    <tableColumn id="1" name="NUM DOSSIER" dataDxfId="167"/>
    <tableColumn id="2" name="DATE" dataDxfId="166"/>
    <tableColumn id="3" name="SITE_x000a_CHARGEMENT" dataDxfId="165"/>
    <tableColumn id="4" name="SERVICE_x000a_CHARGEMENT" dataDxfId="164"/>
    <tableColumn id="5" name="SITE_x000a_LIVRAISON" dataDxfId="163"/>
    <tableColumn id="6" name="SERVICE_x000a_LIVRAISON" dataDxfId="162"/>
    <tableColumn id="7" name="HEURE_x000a_APPEL" dataDxfId="161"/>
    <tableColumn id="8" name="HEURE CHARG_x000a_ SOUHAITE" dataDxfId="160"/>
    <tableColumn id="9" name="HEURE CHARG_x000a_REEL" dataDxfId="159"/>
    <tableColumn id="10" name="HEURE LIV _x000a_SOUHAITEE" dataDxfId="158"/>
    <tableColumn id="11" name="HEURE LIV _x000a_REELLE" dataDxfId="157"/>
    <tableColumn id="17" name="TYPE PRODUIT" dataDxfId="156"/>
    <tableColumn id="19" name="PRIX" dataDxfId="155"/>
    <tableColumn id="20" name="SEM/WEEK" dataDxfId="154">
      <calculatedColumnFormula>IF(OR(B2=Noel,WEEKDAY(B2,2)=6,WEEKDAY(B2,2)=7),"WEEKEND","SEMAINE")</calculatedColumnFormula>
    </tableColumn>
    <tableColumn id="21" name="JOUR/NUIT" dataDxfId="153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27" name="Tableau1425262728" displayName="Tableau1425262728" ref="A1:O2" totalsRowShown="0" headerRowDxfId="152" dataDxfId="150" headerRowBorderDxfId="151" tableBorderDxfId="149">
  <autoFilter ref="A1:O2"/>
  <tableColumns count="15">
    <tableColumn id="1" name="NUM DOSSIER" dataDxfId="148"/>
    <tableColumn id="2" name="DATE" dataDxfId="147"/>
    <tableColumn id="3" name="SITE_x000a_CHARGEMENT" dataDxfId="146"/>
    <tableColumn id="4" name="SERVICE_x000a_CHARGEMENT" dataDxfId="145"/>
    <tableColumn id="5" name="SITE_x000a_LIVRAISON" dataDxfId="144"/>
    <tableColumn id="6" name="SERVICE_x000a_LIVRAISON" dataDxfId="143"/>
    <tableColumn id="7" name="HEURE_x000a_APPEL" dataDxfId="142"/>
    <tableColumn id="8" name="HEURE CHARG_x000a_ SOUHAITE" dataDxfId="141"/>
    <tableColumn id="9" name="HEURE CHARG_x000a_REEL" dataDxfId="140"/>
    <tableColumn id="10" name="HEURE LIV _x000a_SOUHAITEE" dataDxfId="139"/>
    <tableColumn id="11" name="HEURE LIV _x000a_REELLE" dataDxfId="138"/>
    <tableColumn id="17" name="TYPE PRODUIT" dataDxfId="137"/>
    <tableColumn id="19" name="PRIX" dataDxfId="136"/>
    <tableColumn id="20" name="SEM/WEEK" dataDxfId="135">
      <calculatedColumnFormula>IF(OR(B2=N_PremierDelAn,WEEKDAY(B2,2)=6,WEEKDAY(B2,2)=7),"WEEKEND","SEMAINE")</calculatedColumnFormula>
    </tableColumn>
    <tableColumn id="21" name="JOUR/NUIT" dataDxfId="134">
      <calculatedColumnFormula>IF(AND(H2&gt;"05:16"*1,H2&lt;"20:16"*1),"JOUR","NUIT")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D9" sqref="D9"/>
    </sheetView>
  </sheetViews>
  <sheetFormatPr baseColWidth="10" defaultRowHeight="15" x14ac:dyDescent="0.25"/>
  <cols>
    <col min="3" max="3" width="18.28515625" bestFit="1" customWidth="1"/>
    <col min="4" max="4" width="25.7109375" bestFit="1" customWidth="1"/>
    <col min="5" max="5" width="8.28515625" customWidth="1"/>
    <col min="6" max="6" width="8.5703125" customWidth="1"/>
    <col min="7" max="7" width="9.42578125" customWidth="1"/>
    <col min="8" max="8" width="18.28515625" bestFit="1" customWidth="1"/>
    <col min="9" max="9" width="26.42578125" bestFit="1" customWidth="1"/>
    <col min="10" max="10" width="9" customWidth="1"/>
  </cols>
  <sheetData>
    <row r="1" spans="2:10" ht="15.75" thickBot="1" x14ac:dyDescent="0.3"/>
    <row r="2" spans="2:10" ht="15" customHeight="1" x14ac:dyDescent="0.25">
      <c r="B2" s="23" t="s">
        <v>31</v>
      </c>
      <c r="C2" s="24"/>
      <c r="D2" s="24"/>
      <c r="E2" s="25"/>
      <c r="F2" s="19"/>
      <c r="G2" s="29" t="s">
        <v>32</v>
      </c>
      <c r="H2" s="30"/>
      <c r="I2" s="30"/>
      <c r="J2" s="31"/>
    </row>
    <row r="3" spans="2:10" ht="15.75" customHeight="1" thickBot="1" x14ac:dyDescent="0.3">
      <c r="B3" s="26"/>
      <c r="C3" s="27"/>
      <c r="D3" s="27"/>
      <c r="E3" s="28"/>
      <c r="F3" s="19"/>
      <c r="G3" s="32"/>
      <c r="H3" s="33"/>
      <c r="I3" s="33"/>
      <c r="J3" s="34"/>
    </row>
    <row r="5" spans="2:10" x14ac:dyDescent="0.25">
      <c r="B5" s="20"/>
      <c r="C5" s="20"/>
      <c r="D5" s="20"/>
      <c r="E5" s="20"/>
      <c r="F5" s="20"/>
    </row>
    <row r="6" spans="2:10" x14ac:dyDescent="0.25">
      <c r="B6" s="20" t="s">
        <v>54</v>
      </c>
      <c r="C6" s="20"/>
      <c r="D6" s="20"/>
      <c r="E6" s="20"/>
      <c r="F6" s="20"/>
    </row>
    <row r="7" spans="2:10" x14ac:dyDescent="0.25">
      <c r="B7" s="20"/>
      <c r="C7" s="20"/>
      <c r="D7" s="20"/>
      <c r="E7" s="20"/>
      <c r="F7" s="20"/>
    </row>
    <row r="8" spans="2:10" x14ac:dyDescent="0.25">
      <c r="B8" s="18"/>
      <c r="C8" s="18"/>
      <c r="D8" s="18"/>
      <c r="E8" s="18"/>
      <c r="F8" s="18"/>
    </row>
    <row r="9" spans="2:10" ht="30.75" customHeight="1" x14ac:dyDescent="0.25">
      <c r="C9" s="17" t="s">
        <v>30</v>
      </c>
      <c r="D9" s="16" t="s">
        <v>33</v>
      </c>
      <c r="H9" s="17" t="s">
        <v>30</v>
      </c>
      <c r="I9" s="16" t="s">
        <v>29</v>
      </c>
    </row>
    <row r="10" spans="2:10" x14ac:dyDescent="0.25">
      <c r="C10" s="15" t="s">
        <v>28</v>
      </c>
      <c r="D10" s="14">
        <f>DATE(Saisir_Année,1,1)</f>
        <v>41640</v>
      </c>
      <c r="H10" s="15" t="s">
        <v>28</v>
      </c>
      <c r="I10" s="14">
        <f>DATE(Saisir_Année2,1,1)</f>
        <v>42005</v>
      </c>
    </row>
    <row r="11" spans="2:10" x14ac:dyDescent="0.25">
      <c r="C11" s="41" t="s">
        <v>27</v>
      </c>
      <c r="D11" s="14">
        <f>ROUND(DATE(Saisir_Année,4,MOD(234-11*MOD(Saisir_Année,19),30))/7,0)*7-6</f>
        <v>41749</v>
      </c>
      <c r="H11" s="41" t="s">
        <v>27</v>
      </c>
      <c r="I11" s="14">
        <f>ROUND(DATE(Saisir_Année2,4,MOD(234-11*MOD(Saisir_Année2,19),30))/7,0)*7-6</f>
        <v>42099</v>
      </c>
    </row>
    <row r="12" spans="2:10" x14ac:dyDescent="0.25">
      <c r="C12" s="15" t="s">
        <v>26</v>
      </c>
      <c r="D12" s="14">
        <f>ROUND(DATE(Saisir_Année,4,MOD(234-11*MOD(Saisir_Année,19),30))/7,0)*7-5</f>
        <v>41750</v>
      </c>
      <c r="H12" s="15" t="s">
        <v>26</v>
      </c>
      <c r="I12" s="14">
        <f>ROUND(DATE(Saisir_Année2,4,MOD(234-11*MOD(Saisir_Année2,19),30))/7,0)*7-5</f>
        <v>42100</v>
      </c>
    </row>
    <row r="13" spans="2:10" x14ac:dyDescent="0.25">
      <c r="C13" s="15" t="s">
        <v>25</v>
      </c>
      <c r="D13" s="14">
        <f>DATE(Saisir_Année,5,1)</f>
        <v>41760</v>
      </c>
      <c r="H13" s="15" t="s">
        <v>25</v>
      </c>
      <c r="I13" s="14">
        <f>DATE(Saisir_Année2,5,1)</f>
        <v>42125</v>
      </c>
    </row>
    <row r="14" spans="2:10" x14ac:dyDescent="0.25">
      <c r="C14" s="15" t="s">
        <v>24</v>
      </c>
      <c r="D14" s="14">
        <f>DATE(Saisir_Année,5,8)</f>
        <v>41767</v>
      </c>
      <c r="H14" s="15" t="s">
        <v>24</v>
      </c>
      <c r="I14" s="14">
        <f>DATE(Saisir_Année2,5,8)</f>
        <v>42132</v>
      </c>
    </row>
    <row r="15" spans="2:10" x14ac:dyDescent="0.25">
      <c r="C15" s="15" t="s">
        <v>23</v>
      </c>
      <c r="D15" s="14">
        <f>ROUND(DATE(Saisir_Année,4,MOD(234-11*MOD(Saisir_Année,19),30))/7,0)*7+33</f>
        <v>41788</v>
      </c>
      <c r="H15" s="15" t="s">
        <v>23</v>
      </c>
      <c r="I15" s="14">
        <f>ROUND(DATE(Saisir_Année2,4,MOD(234-11*MOD(Saisir_Année2,19),30))/7,0)*7+33</f>
        <v>42138</v>
      </c>
    </row>
    <row r="16" spans="2:10" x14ac:dyDescent="0.25">
      <c r="C16" s="41" t="s">
        <v>22</v>
      </c>
      <c r="D16" s="14">
        <f>ROUND(DATE(Saisir_Année,4,MOD(234-11*MOD(Saisir_Année,19),30))/7,0)*7+43</f>
        <v>41798</v>
      </c>
      <c r="H16" s="41" t="s">
        <v>22</v>
      </c>
      <c r="I16" s="14">
        <f>ROUND(DATE(Saisir_Année2,4,MOD(234-11*MOD(Saisir_Année2,19),30))/7,0)*7+43</f>
        <v>42148</v>
      </c>
    </row>
    <row r="17" spans="3:9" x14ac:dyDescent="0.25">
      <c r="C17" s="15" t="s">
        <v>21</v>
      </c>
      <c r="D17" s="14">
        <f>ROUND(DATE(Saisir_Année,4,MOD(234-11*MOD(Saisir_Année,19),30))/7,0)*7+44</f>
        <v>41799</v>
      </c>
      <c r="H17" s="15" t="s">
        <v>21</v>
      </c>
      <c r="I17" s="14">
        <f>ROUND(DATE(Saisir_Année2,4,MOD(234-11*MOD(Saisir_Année2,19),30))/7,0)*7+44</f>
        <v>42149</v>
      </c>
    </row>
    <row r="18" spans="3:9" x14ac:dyDescent="0.25">
      <c r="C18" s="15" t="s">
        <v>20</v>
      </c>
      <c r="D18" s="14">
        <f>DATE(Saisir_Année,7,14)</f>
        <v>41834</v>
      </c>
      <c r="H18" s="15" t="s">
        <v>20</v>
      </c>
      <c r="I18" s="14">
        <f>DATE(Saisir_Année2,7,14)</f>
        <v>42199</v>
      </c>
    </row>
    <row r="19" spans="3:9" x14ac:dyDescent="0.25">
      <c r="C19" s="15" t="s">
        <v>19</v>
      </c>
      <c r="D19" s="14">
        <f>DATE(Saisir_Année,8,15)</f>
        <v>41866</v>
      </c>
      <c r="H19" s="15" t="s">
        <v>19</v>
      </c>
      <c r="I19" s="14">
        <f>DATE(Saisir_Année2,8,15)</f>
        <v>42231</v>
      </c>
    </row>
    <row r="20" spans="3:9" x14ac:dyDescent="0.25">
      <c r="C20" s="15" t="s">
        <v>18</v>
      </c>
      <c r="D20" s="14">
        <f>DATE(Saisir_Année,11,1)</f>
        <v>41944</v>
      </c>
      <c r="H20" s="15" t="s">
        <v>18</v>
      </c>
      <c r="I20" s="14">
        <f>DATE(Saisir_Année2,11,1)</f>
        <v>42309</v>
      </c>
    </row>
    <row r="21" spans="3:9" x14ac:dyDescent="0.25">
      <c r="C21" s="15" t="s">
        <v>17</v>
      </c>
      <c r="D21" s="14">
        <f>DATE(Saisir_Année,11,11)</f>
        <v>41954</v>
      </c>
      <c r="H21" s="15" t="s">
        <v>17</v>
      </c>
      <c r="I21" s="14">
        <f>DATE(Saisir_Année2,11,11)</f>
        <v>42319</v>
      </c>
    </row>
    <row r="22" spans="3:9" x14ac:dyDescent="0.25">
      <c r="C22" s="13" t="s">
        <v>16</v>
      </c>
      <c r="D22" s="12">
        <f>DATE(Saisir_Année,12,25)</f>
        <v>41998</v>
      </c>
      <c r="H22" s="13" t="s">
        <v>16</v>
      </c>
      <c r="I22" s="12">
        <f>DATE(Saisir_Année2,12,25)</f>
        <v>42363</v>
      </c>
    </row>
  </sheetData>
  <mergeCells count="2">
    <mergeCell ref="B2:E3"/>
    <mergeCell ref="G2:J3"/>
  </mergeCells>
  <conditionalFormatting sqref="D10:D22">
    <cfRule type="expression" dxfId="1" priority="2">
      <formula>OR(WEEKDAY($D$10,2)=6,WEEKDAY($D$10,2)=7)</formula>
    </cfRule>
  </conditionalFormatting>
  <conditionalFormatting sqref="I10:I22">
    <cfRule type="expression" dxfId="0" priority="1">
      <formula>OR(WEEKDAY($D$10,2)=6,WEEKDAY($D$10,2)=7)</formula>
    </cfRule>
  </conditionalFormatting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N2" sqref="N2"/>
    </sheetView>
  </sheetViews>
  <sheetFormatPr baseColWidth="10" defaultRowHeight="15" x14ac:dyDescent="0.25"/>
  <cols>
    <col min="1" max="1" width="18.140625" bestFit="1" customWidth="1"/>
    <col min="2" max="2" width="11.42578125" style="1"/>
    <col min="3" max="3" width="22.28515625" bestFit="1" customWidth="1"/>
    <col min="4" max="4" width="18.140625" bestFit="1" customWidth="1"/>
    <col min="5" max="5" width="19.140625" bestFit="1" customWidth="1"/>
    <col min="6" max="6" width="15.140625" bestFit="1" customWidth="1"/>
    <col min="7" max="7" width="11.42578125" style="2"/>
    <col min="8" max="9" width="18.140625" style="2" bestFit="1" customWidth="1"/>
    <col min="10" max="10" width="15.5703125" style="2" bestFit="1" customWidth="1"/>
    <col min="11" max="11" width="14.5703125" style="2" bestFit="1" customWidth="1"/>
    <col min="12" max="12" width="13.5703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IF(OR(B2=N_LundiDePaques,WEEKDAY(B2,2)=6,WEEKDAY(B2,2)=7),"WEEKEND","SEMAINE")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1.42578125" style="1"/>
    <col min="3" max="3" width="22.28515625" bestFit="1" customWidth="1"/>
    <col min="4" max="4" width="18.140625" bestFit="1" customWidth="1"/>
    <col min="5" max="5" width="19.140625" bestFit="1" customWidth="1"/>
    <col min="6" max="6" width="15.140625" bestFit="1" customWidth="1"/>
    <col min="7" max="7" width="17.28515625" style="2" bestFit="1" customWidth="1"/>
    <col min="8" max="9" width="18.140625" style="2" bestFit="1" customWidth="1"/>
    <col min="10" max="10" width="15.5703125" style="2" bestFit="1" customWidth="1"/>
    <col min="11" max="11" width="14.5703125" style="2" bestFit="1" customWidth="1"/>
    <col min="12" max="12" width="13.5703125" bestFit="1" customWidth="1"/>
    <col min="13" max="13" width="9.5703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IF(OR(B2=N_FêteDuTravail, B2=N_Victoire1945, B2=N_Ascension, B2=N_Pentecôte, B2=N_LundiDePencôte, 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1.42578125" style="1"/>
    <col min="3" max="3" width="22.28515625" bestFit="1" customWidth="1"/>
    <col min="4" max="4" width="26" bestFit="1" customWidth="1"/>
    <col min="5" max="5" width="19.140625" bestFit="1" customWidth="1"/>
    <col min="6" max="6" width="22.85546875" bestFit="1" customWidth="1"/>
    <col min="7" max="7" width="17.28515625" style="2" bestFit="1" customWidth="1"/>
    <col min="8" max="9" width="18.140625" style="2" bestFit="1" customWidth="1"/>
    <col min="10" max="10" width="15.5703125" style="2" bestFit="1" customWidth="1"/>
    <col min="11" max="11" width="14.5703125" style="2" bestFit="1" customWidth="1"/>
    <col min="12" max="12" width="13.5703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10" t="s">
        <v>3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IF(OR(B2=DATE(2015,1,1),WEEKDAY(B2,2)=6,WEEKDAY(B2,2)=7),"WEEKEND","SEMAINE")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0.7109375" style="1" bestFit="1" customWidth="1"/>
    <col min="3" max="3" width="22.28515625" bestFit="1" customWidth="1"/>
    <col min="4" max="4" width="26" bestFit="1" customWidth="1"/>
    <col min="5" max="5" width="19.140625" bestFit="1" customWidth="1"/>
    <col min="6" max="6" width="22.85546875" bestFit="1" customWidth="1"/>
    <col min="7" max="7" width="17.28515625" style="2" bestFit="1" customWidth="1"/>
    <col min="8" max="9" width="18.140625" style="2" bestFit="1" customWidth="1"/>
    <col min="10" max="10" width="15.5703125" style="2" bestFit="1" customWidth="1"/>
    <col min="11" max="11" width="14.5703125" style="2" bestFit="1" customWidth="1"/>
    <col min="12" max="12" width="13.5703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10" t="s">
        <v>3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IF(OR(B2=N_FêteNationale,WEEKDAY(B2,2)=6,WEEKDAY(B2,2)=7),"WEEKEND","SEMAINE")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1.42578125" style="1"/>
    <col min="3" max="3" width="22.28515625" bestFit="1" customWidth="1"/>
    <col min="4" max="4" width="26" bestFit="1" customWidth="1"/>
    <col min="5" max="5" width="19.140625" bestFit="1" customWidth="1"/>
    <col min="6" max="6" width="22.85546875" bestFit="1" customWidth="1"/>
    <col min="7" max="7" width="17.28515625" style="2" bestFit="1" customWidth="1"/>
    <col min="8" max="9" width="18.140625" style="2" bestFit="1" customWidth="1"/>
    <col min="10" max="10" width="15.5703125" style="2" bestFit="1" customWidth="1"/>
    <col min="11" max="11" width="11.42578125" style="2"/>
    <col min="12" max="12" width="13.5703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IF(OR(B2=N_Assomption,WEEKDAY(B2,2)=6,WEEKDAY(B2,2)=7),"WEEKEND","SEMAINE")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A7" workbookViewId="0"/>
  </sheetViews>
  <sheetFormatPr baseColWidth="10" defaultRowHeight="15" x14ac:dyDescent="0.25"/>
  <cols>
    <col min="2" max="2" width="10.42578125" bestFit="1" customWidth="1"/>
    <col min="3" max="3" width="19" bestFit="1" customWidth="1"/>
    <col min="4" max="4" width="17.42578125" bestFit="1" customWidth="1"/>
    <col min="5" max="5" width="22" customWidth="1"/>
    <col min="9" max="9" width="19" bestFit="1" customWidth="1"/>
    <col min="10" max="10" width="17.42578125" bestFit="1" customWidth="1"/>
    <col min="11" max="11" width="11.7109375" bestFit="1" customWidth="1"/>
  </cols>
  <sheetData>
    <row r="1" spans="2:11" ht="15.75" thickBot="1" x14ac:dyDescent="0.3"/>
    <row r="2" spans="2:11" x14ac:dyDescent="0.25">
      <c r="B2" s="23" t="s">
        <v>31</v>
      </c>
      <c r="C2" s="24"/>
      <c r="D2" s="24"/>
      <c r="E2" s="25"/>
      <c r="H2" s="29" t="s">
        <v>32</v>
      </c>
      <c r="I2" s="30"/>
      <c r="J2" s="30"/>
      <c r="K2" s="31"/>
    </row>
    <row r="3" spans="2:11" ht="15.75" thickBot="1" x14ac:dyDescent="0.3">
      <c r="B3" s="26"/>
      <c r="C3" s="27"/>
      <c r="D3" s="27"/>
      <c r="E3" s="28"/>
      <c r="H3" s="32"/>
      <c r="I3" s="33"/>
      <c r="J3" s="33"/>
      <c r="K3" s="34"/>
    </row>
    <row r="6" spans="2:11" ht="30" x14ac:dyDescent="0.25">
      <c r="B6" s="39" t="s">
        <v>34</v>
      </c>
      <c r="C6" s="39" t="s">
        <v>35</v>
      </c>
      <c r="D6" s="40" t="s">
        <v>51</v>
      </c>
      <c r="E6" s="40" t="s">
        <v>52</v>
      </c>
      <c r="H6" s="39" t="s">
        <v>34</v>
      </c>
      <c r="I6" s="39" t="s">
        <v>35</v>
      </c>
      <c r="J6" s="40" t="s">
        <v>51</v>
      </c>
      <c r="K6" s="40" t="s">
        <v>53</v>
      </c>
    </row>
    <row r="7" spans="2:11" x14ac:dyDescent="0.25">
      <c r="B7" t="s">
        <v>36</v>
      </c>
      <c r="C7" s="21">
        <f>NETWORKDAYS(C24,D24,PremierDelAn)</f>
        <v>22</v>
      </c>
      <c r="D7" s="21">
        <f xml:space="preserve"> Tableau4[[#This Row],[TOTAL 
JOURS]]-Tableau4[[#This Row],[JOURS OUVRES]]</f>
        <v>9</v>
      </c>
      <c r="E7" s="21">
        <f>DAY(EOMONTH(C24,0))</f>
        <v>31</v>
      </c>
      <c r="H7" t="s">
        <v>36</v>
      </c>
      <c r="I7" s="21">
        <f>NETWORKDAYS(I24,J24,N_PremierDelAn)</f>
        <v>21</v>
      </c>
      <c r="J7" s="21">
        <f>Tableau438[[#This Row],[TOTAL
 JOURS]]-Tableau438[[#This Row],[JOURS OUVRES]]</f>
        <v>10</v>
      </c>
      <c r="K7" s="21">
        <f>DAY(EOMONTH(I24,0))</f>
        <v>31</v>
      </c>
    </row>
    <row r="8" spans="2:11" x14ac:dyDescent="0.25">
      <c r="B8" t="s">
        <v>37</v>
      </c>
      <c r="C8" s="21">
        <f>NETWORKDAYS(C25,D25)</f>
        <v>20</v>
      </c>
      <c r="D8" s="21">
        <f xml:space="preserve"> Tableau4[[#This Row],[TOTAL 
JOURS]]-Tableau4[[#This Row],[JOURS OUVRES]]</f>
        <v>8</v>
      </c>
      <c r="E8" s="21">
        <f t="shared" ref="E8:E18" si="0">DAY(EOMONTH(C25,0))</f>
        <v>28</v>
      </c>
      <c r="H8" t="s">
        <v>37</v>
      </c>
      <c r="I8" s="21">
        <f>NETWORKDAYS(I25,J25)</f>
        <v>20</v>
      </c>
      <c r="J8" s="21">
        <f>Tableau438[[#This Row],[TOTAL
 JOURS]]-Tableau438[[#This Row],[JOURS OUVRES]]</f>
        <v>8</v>
      </c>
      <c r="K8" s="21">
        <f>DAY(EOMONTH(I25,0))</f>
        <v>28</v>
      </c>
    </row>
    <row r="9" spans="2:11" x14ac:dyDescent="0.25">
      <c r="B9" t="s">
        <v>38</v>
      </c>
      <c r="C9" s="21">
        <f>NETWORKDAYS(C26,D26,LundiDePaques)</f>
        <v>21</v>
      </c>
      <c r="D9" s="21">
        <f xml:space="preserve"> Tableau4[[#This Row],[TOTAL 
JOURS]]-Tableau4[[#This Row],[JOURS OUVRES]]</f>
        <v>10</v>
      </c>
      <c r="E9" s="21">
        <f t="shared" si="0"/>
        <v>31</v>
      </c>
      <c r="H9" t="s">
        <v>38</v>
      </c>
      <c r="I9" s="21">
        <f>NETWORKDAYS(I26,J26,N_LundiDePaques)</f>
        <v>22</v>
      </c>
      <c r="J9" s="21">
        <f>Tableau438[[#This Row],[TOTAL
 JOURS]]-Tableau438[[#This Row],[JOURS OUVRES]]</f>
        <v>9</v>
      </c>
      <c r="K9" s="21">
        <f>DAY(EOMONTH(I26,0))</f>
        <v>31</v>
      </c>
    </row>
    <row r="10" spans="2:11" x14ac:dyDescent="0.25">
      <c r="B10" t="s">
        <v>39</v>
      </c>
      <c r="C10" s="21">
        <f>NETWORKDAYS(Jours_Ouvrés!C27,Jours_Ouvrés!D27,LundiDePaques)</f>
        <v>21</v>
      </c>
      <c r="D10" s="21">
        <f xml:space="preserve"> Tableau4[[#This Row],[TOTAL 
JOURS]]-Tableau4[[#This Row],[JOURS OUVRES]]</f>
        <v>9</v>
      </c>
      <c r="E10" s="21">
        <f t="shared" si="0"/>
        <v>30</v>
      </c>
      <c r="H10" t="s">
        <v>39</v>
      </c>
      <c r="I10" s="21">
        <f>NETWORKDAYS(I27,J27,N_LundiDePaques)</f>
        <v>21</v>
      </c>
      <c r="J10" s="21">
        <f>Tableau438[[#This Row],[TOTAL
 JOURS]]-Tableau438[[#This Row],[JOURS OUVRES]]</f>
        <v>9</v>
      </c>
      <c r="K10" s="21">
        <f>DAY(EOMONTH(I27,0))</f>
        <v>30</v>
      </c>
    </row>
    <row r="11" spans="2:11" x14ac:dyDescent="0.25">
      <c r="B11" t="s">
        <v>40</v>
      </c>
      <c r="C11" s="21">
        <f>NETWORKDAYS(C28,D28,Jours_Fériés!D13:D15)</f>
        <v>19</v>
      </c>
      <c r="D11" s="21">
        <f xml:space="preserve"> Tableau4[[#This Row],[TOTAL 
JOURS]]-Tableau4[[#This Row],[JOURS OUVRES]]</f>
        <v>12</v>
      </c>
      <c r="E11" s="21">
        <f t="shared" si="0"/>
        <v>31</v>
      </c>
      <c r="H11" t="s">
        <v>40</v>
      </c>
      <c r="I11" s="21">
        <f>NETWORKDAYS(I28,J28,Jours_Fériés!I13:I17)</f>
        <v>17</v>
      </c>
      <c r="J11" s="21">
        <f>Tableau438[[#This Row],[TOTAL
 JOURS]]-Tableau438[[#This Row],[JOURS OUVRES]]</f>
        <v>14</v>
      </c>
      <c r="K11" s="21">
        <f>DAY(EOMONTH(I28,0))</f>
        <v>31</v>
      </c>
    </row>
    <row r="12" spans="2:11" x14ac:dyDescent="0.25">
      <c r="B12" t="s">
        <v>41</v>
      </c>
      <c r="C12" s="21">
        <f>NETWORKDAYS(C29,D29)</f>
        <v>21</v>
      </c>
      <c r="D12" s="21">
        <f xml:space="preserve"> Tableau4[[#This Row],[TOTAL 
JOURS]]-Tableau4[[#This Row],[JOURS OUVRES]]</f>
        <v>9</v>
      </c>
      <c r="E12" s="21">
        <f t="shared" si="0"/>
        <v>30</v>
      </c>
      <c r="H12" t="s">
        <v>41</v>
      </c>
      <c r="I12" s="21">
        <f>NETWORKDAYS(I29,J29)</f>
        <v>22</v>
      </c>
      <c r="J12" s="21">
        <f>Tableau438[[#This Row],[TOTAL
 JOURS]]-Tableau438[[#This Row],[JOURS OUVRES]]</f>
        <v>8</v>
      </c>
      <c r="K12" s="21">
        <f>DAY(EOMONTH(I29,0))</f>
        <v>30</v>
      </c>
    </row>
    <row r="13" spans="2:11" x14ac:dyDescent="0.25">
      <c r="B13" t="s">
        <v>42</v>
      </c>
      <c r="C13" s="21">
        <f>NETWORKDAYS(C30,D30,FêteNationale)</f>
        <v>22</v>
      </c>
      <c r="D13" s="21">
        <f xml:space="preserve"> Tableau4[[#This Row],[TOTAL 
JOURS]]-Tableau4[[#This Row],[JOURS OUVRES]]</f>
        <v>9</v>
      </c>
      <c r="E13" s="21">
        <f t="shared" si="0"/>
        <v>31</v>
      </c>
      <c r="H13" t="s">
        <v>42</v>
      </c>
      <c r="I13" s="21">
        <f>NETWORKDAYS(I30,J30,N_FêteNationale)</f>
        <v>22</v>
      </c>
      <c r="J13" s="21">
        <f>Tableau438[[#This Row],[TOTAL
 JOURS]]-Tableau438[[#This Row],[JOURS OUVRES]]</f>
        <v>9</v>
      </c>
      <c r="K13" s="21">
        <f>DAY(EOMONTH(I30,0))</f>
        <v>31</v>
      </c>
    </row>
    <row r="14" spans="2:11" x14ac:dyDescent="0.25">
      <c r="B14" t="s">
        <v>43</v>
      </c>
      <c r="C14" s="21">
        <f>NETWORKDAYS(C31,D31,Assomption)</f>
        <v>20</v>
      </c>
      <c r="D14" s="21">
        <f xml:space="preserve"> Tableau4[[#This Row],[TOTAL 
JOURS]]-Tableau4[[#This Row],[JOURS OUVRES]]</f>
        <v>11</v>
      </c>
      <c r="E14" s="21">
        <f t="shared" si="0"/>
        <v>31</v>
      </c>
      <c r="H14" t="s">
        <v>43</v>
      </c>
      <c r="I14" s="21">
        <f>NETWORKDAYS(I31,J31,N_Assomption)</f>
        <v>21</v>
      </c>
      <c r="J14" s="21">
        <f>Tableau438[[#This Row],[TOTAL
 JOURS]]-Tableau438[[#This Row],[JOURS OUVRES]]</f>
        <v>10</v>
      </c>
      <c r="K14" s="21">
        <f>DAY(EOMONTH(I31,0))</f>
        <v>31</v>
      </c>
    </row>
    <row r="15" spans="2:11" x14ac:dyDescent="0.25">
      <c r="B15" t="s">
        <v>44</v>
      </c>
      <c r="C15" s="21">
        <f>NETWORKDAYS(C32,D32)</f>
        <v>22</v>
      </c>
      <c r="D15" s="21">
        <f xml:space="preserve"> Tableau4[[#This Row],[TOTAL 
JOURS]]-Tableau4[[#This Row],[JOURS OUVRES]]</f>
        <v>8</v>
      </c>
      <c r="E15" s="21">
        <f t="shared" si="0"/>
        <v>30</v>
      </c>
      <c r="H15" t="s">
        <v>44</v>
      </c>
      <c r="I15" s="21">
        <f>NETWORKDAYS(I32,J32)</f>
        <v>22</v>
      </c>
      <c r="J15" s="21">
        <f>Tableau438[[#This Row],[TOTAL
 JOURS]]-Tableau438[[#This Row],[JOURS OUVRES]]</f>
        <v>8</v>
      </c>
      <c r="K15" s="21">
        <f>DAY(EOMONTH(I32,0))</f>
        <v>30</v>
      </c>
    </row>
    <row r="16" spans="2:11" x14ac:dyDescent="0.25">
      <c r="B16" t="s">
        <v>45</v>
      </c>
      <c r="C16" s="21">
        <f>NETWORKDAYS(C33,D33)</f>
        <v>23</v>
      </c>
      <c r="D16" s="21">
        <f xml:space="preserve"> Tableau4[[#This Row],[TOTAL 
JOURS]]-Tableau4[[#This Row],[JOURS OUVRES]]</f>
        <v>8</v>
      </c>
      <c r="E16" s="21">
        <f t="shared" si="0"/>
        <v>31</v>
      </c>
      <c r="H16" t="s">
        <v>45</v>
      </c>
      <c r="I16" s="21">
        <f>NETWORKDAYS(I33,J33)</f>
        <v>22</v>
      </c>
      <c r="J16" s="21">
        <f>Tableau438[[#This Row],[TOTAL
 JOURS]]-Tableau438[[#This Row],[JOURS OUVRES]]</f>
        <v>9</v>
      </c>
      <c r="K16" s="21">
        <f>DAY(EOMONTH(I33,0))</f>
        <v>31</v>
      </c>
    </row>
    <row r="17" spans="2:11" x14ac:dyDescent="0.25">
      <c r="B17" t="s">
        <v>46</v>
      </c>
      <c r="C17" s="21">
        <f>NETWORKDAYS(C34,D34,Jours_Fériés!D20:D21)</f>
        <v>19</v>
      </c>
      <c r="D17" s="21">
        <f xml:space="preserve"> Tableau4[[#This Row],[TOTAL 
JOURS]]-Tableau4[[#This Row],[JOURS OUVRES]]</f>
        <v>11</v>
      </c>
      <c r="E17" s="21">
        <f t="shared" si="0"/>
        <v>30</v>
      </c>
      <c r="H17" t="s">
        <v>46</v>
      </c>
      <c r="I17" s="21">
        <f>NETWORKDAYS(I34,J34,Jours_Fériés!I20:I21)</f>
        <v>20</v>
      </c>
      <c r="J17" s="21">
        <f>Tableau438[[#This Row],[TOTAL
 JOURS]]-Tableau438[[#This Row],[JOURS OUVRES]]</f>
        <v>10</v>
      </c>
      <c r="K17" s="21">
        <f>DAY(EOMONTH(I34,0))</f>
        <v>30</v>
      </c>
    </row>
    <row r="18" spans="2:11" x14ac:dyDescent="0.25">
      <c r="B18" t="s">
        <v>47</v>
      </c>
      <c r="C18" s="21">
        <f>NETWORKDAYS(C35,D35,Noel)</f>
        <v>22</v>
      </c>
      <c r="D18" s="21">
        <f xml:space="preserve"> Tableau4[[#This Row],[TOTAL 
JOURS]]-Tableau4[[#This Row],[JOURS OUVRES]]</f>
        <v>9</v>
      </c>
      <c r="E18" s="21">
        <f t="shared" si="0"/>
        <v>31</v>
      </c>
      <c r="H18" t="s">
        <v>47</v>
      </c>
      <c r="I18" s="21">
        <f>NETWORKDAYS(I35,N_Noel)</f>
        <v>19</v>
      </c>
      <c r="J18" s="21">
        <f>Tableau438[[#This Row],[TOTAL
 JOURS]]-Tableau438[[#This Row],[JOURS OUVRES]]</f>
        <v>12</v>
      </c>
      <c r="K18" s="21">
        <f>DAY(EOMONTH(I35,0))</f>
        <v>31</v>
      </c>
    </row>
    <row r="19" spans="2:11" x14ac:dyDescent="0.25">
      <c r="B19" t="s">
        <v>48</v>
      </c>
      <c r="C19" s="21">
        <f>SUM(C7:C18)</f>
        <v>252</v>
      </c>
      <c r="D19" s="21">
        <f>SUM(D7:D18)</f>
        <v>113</v>
      </c>
      <c r="E19" s="21">
        <f>SUM(E7:E18)</f>
        <v>365</v>
      </c>
      <c r="H19" t="s">
        <v>48</v>
      </c>
      <c r="I19" s="21">
        <f>SUM(I7:I18)</f>
        <v>249</v>
      </c>
      <c r="J19" s="21">
        <f>SUM(J7:J18)</f>
        <v>116</v>
      </c>
      <c r="K19" s="21">
        <f>SUM(K7:K18)</f>
        <v>365</v>
      </c>
    </row>
    <row r="20" spans="2:11" ht="15.75" thickBot="1" x14ac:dyDescent="0.3"/>
    <row r="21" spans="2:11" ht="50.25" customHeight="1" thickBot="1" x14ac:dyDescent="0.3">
      <c r="B21" s="43" t="s">
        <v>56</v>
      </c>
      <c r="C21" s="44"/>
      <c r="D21" s="44"/>
      <c r="E21" s="45"/>
    </row>
    <row r="23" spans="2:11" ht="53.25" customHeight="1" thickBot="1" x14ac:dyDescent="0.3">
      <c r="B23" s="36" t="s">
        <v>34</v>
      </c>
      <c r="C23" s="37" t="s">
        <v>49</v>
      </c>
      <c r="D23" s="37" t="s">
        <v>50</v>
      </c>
      <c r="E23" s="42" t="s">
        <v>55</v>
      </c>
      <c r="H23" s="36" t="s">
        <v>34</v>
      </c>
      <c r="I23" s="37" t="s">
        <v>49</v>
      </c>
      <c r="J23" s="37" t="s">
        <v>50</v>
      </c>
    </row>
    <row r="24" spans="2:11" ht="15.75" thickTop="1" x14ac:dyDescent="0.25">
      <c r="B24" s="3" t="s">
        <v>36</v>
      </c>
      <c r="C24" s="35">
        <v>41640</v>
      </c>
      <c r="D24" s="35">
        <f>EOMONTH(C24,0)</f>
        <v>41670</v>
      </c>
      <c r="E24" s="38">
        <v>41275</v>
      </c>
      <c r="F24" s="38">
        <v>41305</v>
      </c>
      <c r="H24" s="3" t="s">
        <v>36</v>
      </c>
      <c r="I24" s="35">
        <v>42005</v>
      </c>
      <c r="J24" s="35">
        <f>EOMONTH(I24,0)</f>
        <v>42035</v>
      </c>
    </row>
    <row r="25" spans="2:11" x14ac:dyDescent="0.25">
      <c r="B25" s="22" t="s">
        <v>37</v>
      </c>
      <c r="C25" s="35">
        <v>41671</v>
      </c>
      <c r="D25" s="35">
        <f t="shared" ref="D25:D35" si="1">EOMONTH(C25,0)</f>
        <v>41698</v>
      </c>
      <c r="H25" s="22" t="s">
        <v>37</v>
      </c>
      <c r="I25" s="35">
        <v>42036</v>
      </c>
      <c r="J25" s="35">
        <f t="shared" ref="J25:J35" si="2">EOMONTH(I25,0)</f>
        <v>42063</v>
      </c>
    </row>
    <row r="26" spans="2:11" x14ac:dyDescent="0.25">
      <c r="B26" s="3" t="s">
        <v>38</v>
      </c>
      <c r="C26" s="35">
        <v>41699</v>
      </c>
      <c r="D26" s="35">
        <f t="shared" si="1"/>
        <v>41729</v>
      </c>
      <c r="H26" s="3" t="s">
        <v>38</v>
      </c>
      <c r="I26" s="35">
        <v>42064</v>
      </c>
      <c r="J26" s="35">
        <f t="shared" si="2"/>
        <v>42094</v>
      </c>
    </row>
    <row r="27" spans="2:11" x14ac:dyDescent="0.25">
      <c r="B27" s="22" t="s">
        <v>39</v>
      </c>
      <c r="C27" s="35">
        <v>41730</v>
      </c>
      <c r="D27" s="35">
        <f t="shared" si="1"/>
        <v>41759</v>
      </c>
      <c r="H27" s="22" t="s">
        <v>39</v>
      </c>
      <c r="I27" s="35">
        <v>42095</v>
      </c>
      <c r="J27" s="35">
        <f t="shared" si="2"/>
        <v>42124</v>
      </c>
    </row>
    <row r="28" spans="2:11" x14ac:dyDescent="0.25">
      <c r="B28" s="3" t="s">
        <v>40</v>
      </c>
      <c r="C28" s="35">
        <v>41760</v>
      </c>
      <c r="D28" s="35">
        <f t="shared" si="1"/>
        <v>41790</v>
      </c>
      <c r="H28" s="3" t="s">
        <v>40</v>
      </c>
      <c r="I28" s="35">
        <v>42125</v>
      </c>
      <c r="J28" s="35">
        <f t="shared" si="2"/>
        <v>42155</v>
      </c>
    </row>
    <row r="29" spans="2:11" x14ac:dyDescent="0.25">
      <c r="B29" s="22" t="s">
        <v>41</v>
      </c>
      <c r="C29" s="35">
        <v>41791</v>
      </c>
      <c r="D29" s="35">
        <f t="shared" si="1"/>
        <v>41820</v>
      </c>
      <c r="H29" s="22" t="s">
        <v>41</v>
      </c>
      <c r="I29" s="35">
        <v>42156</v>
      </c>
      <c r="J29" s="35">
        <f t="shared" si="2"/>
        <v>42185</v>
      </c>
    </row>
    <row r="30" spans="2:11" x14ac:dyDescent="0.25">
      <c r="B30" s="3" t="s">
        <v>42</v>
      </c>
      <c r="C30" s="35">
        <v>41821</v>
      </c>
      <c r="D30" s="35">
        <f t="shared" si="1"/>
        <v>41851</v>
      </c>
      <c r="H30" s="3" t="s">
        <v>42</v>
      </c>
      <c r="I30" s="35">
        <v>42186</v>
      </c>
      <c r="J30" s="35">
        <f t="shared" si="2"/>
        <v>42216</v>
      </c>
    </row>
    <row r="31" spans="2:11" x14ac:dyDescent="0.25">
      <c r="B31" s="22" t="s">
        <v>43</v>
      </c>
      <c r="C31" s="35">
        <v>41852</v>
      </c>
      <c r="D31" s="35">
        <f t="shared" si="1"/>
        <v>41882</v>
      </c>
      <c r="H31" s="22" t="s">
        <v>43</v>
      </c>
      <c r="I31" s="35">
        <v>42217</v>
      </c>
      <c r="J31" s="35">
        <f t="shared" si="2"/>
        <v>42247</v>
      </c>
    </row>
    <row r="32" spans="2:11" x14ac:dyDescent="0.25">
      <c r="B32" s="3" t="s">
        <v>44</v>
      </c>
      <c r="C32" s="35">
        <v>41883</v>
      </c>
      <c r="D32" s="35">
        <f t="shared" si="1"/>
        <v>41912</v>
      </c>
      <c r="H32" s="3" t="s">
        <v>44</v>
      </c>
      <c r="I32" s="35">
        <v>42248</v>
      </c>
      <c r="J32" s="35">
        <f t="shared" si="2"/>
        <v>42277</v>
      </c>
    </row>
    <row r="33" spans="2:10" x14ac:dyDescent="0.25">
      <c r="B33" s="22" t="s">
        <v>45</v>
      </c>
      <c r="C33" s="35">
        <v>41913</v>
      </c>
      <c r="D33" s="35">
        <f t="shared" si="1"/>
        <v>41943</v>
      </c>
      <c r="H33" s="22" t="s">
        <v>45</v>
      </c>
      <c r="I33" s="35">
        <v>42278</v>
      </c>
      <c r="J33" s="35">
        <f t="shared" si="2"/>
        <v>42308</v>
      </c>
    </row>
    <row r="34" spans="2:10" x14ac:dyDescent="0.25">
      <c r="B34" s="3" t="s">
        <v>46</v>
      </c>
      <c r="C34" s="35">
        <v>41944</v>
      </c>
      <c r="D34" s="35">
        <f t="shared" si="1"/>
        <v>41973</v>
      </c>
      <c r="H34" s="3" t="s">
        <v>46</v>
      </c>
      <c r="I34" s="35">
        <v>42309</v>
      </c>
      <c r="J34" s="35">
        <f t="shared" si="2"/>
        <v>42338</v>
      </c>
    </row>
    <row r="35" spans="2:10" x14ac:dyDescent="0.25">
      <c r="B35" s="22" t="s">
        <v>47</v>
      </c>
      <c r="C35" s="35">
        <v>41974</v>
      </c>
      <c r="D35" s="35">
        <f t="shared" si="1"/>
        <v>42004</v>
      </c>
      <c r="H35" s="22" t="s">
        <v>47</v>
      </c>
      <c r="I35" s="35">
        <v>42339</v>
      </c>
      <c r="J35" s="35">
        <f t="shared" si="2"/>
        <v>42369</v>
      </c>
    </row>
  </sheetData>
  <mergeCells count="3">
    <mergeCell ref="B2:E3"/>
    <mergeCell ref="H2:K3"/>
    <mergeCell ref="B21:E21"/>
  </mergeCells>
  <pageMargins left="0.7" right="0.7" top="0.75" bottom="0.75" header="0.3" footer="0.3"/>
  <ignoredErrors>
    <ignoredError sqref="C8 C9:C10 C11:C18 E7:E18 C19:E19 D7:D18 I8:I18 I19:K19" calculatedColumn="1"/>
  </ignoredErrors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6.28515625" customWidth="1"/>
    <col min="2" max="2" width="11.42578125" style="1"/>
    <col min="3" max="3" width="20.28515625" customWidth="1"/>
    <col min="4" max="4" width="24.28515625" customWidth="1"/>
    <col min="5" max="5" width="17.28515625" customWidth="1"/>
    <col min="6" max="6" width="20.85546875" customWidth="1"/>
    <col min="7" max="7" width="16" style="2" bestFit="1" customWidth="1"/>
    <col min="8" max="8" width="26.28515625" style="2" customWidth="1"/>
    <col min="9" max="9" width="21.28515625" style="2" customWidth="1"/>
    <col min="10" max="10" width="23.7109375" style="2" customWidth="1"/>
    <col min="11" max="11" width="19.5703125" style="2" customWidth="1"/>
    <col min="12" max="12" width="16.42578125" customWidth="1"/>
    <col min="13" max="13" width="13.28515625" bestFit="1" customWidth="1"/>
    <col min="14" max="14" width="13.140625" customWidth="1"/>
    <col min="15" max="15" width="13.28515625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41640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IF(OR(B2=DATE(2015,1,1),WEEKDAY(B2,2)=6,WEEKDAY(B2,2)=7),"WEEKEND","SEMAINE")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A24" sqref="A24"/>
    </sheetView>
  </sheetViews>
  <sheetFormatPr baseColWidth="10" defaultRowHeight="15" x14ac:dyDescent="0.25"/>
  <cols>
    <col min="1" max="1" width="15.85546875" bestFit="1" customWidth="1"/>
    <col min="2" max="2" width="11.42578125" style="1"/>
    <col min="3" max="3" width="22.28515625" bestFit="1" customWidth="1"/>
    <col min="4" max="4" width="25.5703125" bestFit="1" customWidth="1"/>
    <col min="5" max="5" width="18.7109375" bestFit="1" customWidth="1"/>
    <col min="6" max="6" width="22.85546875" bestFit="1" customWidth="1"/>
    <col min="7" max="7" width="11.42578125" style="2"/>
    <col min="8" max="9" width="18.140625" style="2" bestFit="1" customWidth="1"/>
    <col min="10" max="10" width="15.5703125" style="2" bestFit="1" customWidth="1"/>
    <col min="11" max="11" width="14.5703125" style="2" bestFit="1" customWidth="1"/>
    <col min="12" max="12" width="13.5703125" bestFit="1" customWidth="1"/>
    <col min="14" max="14" width="15.42578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IF(OR(B2=DATE(2015,1,1),WEEKDAY(B2,2)=6,WEEKDAY(B2,2)=7),"WEEKEND","SEMAINE")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0.7109375" style="1" bestFit="1" customWidth="1"/>
    <col min="3" max="4" width="18.140625" bestFit="1" customWidth="1"/>
    <col min="5" max="6" width="15.140625" bestFit="1" customWidth="1"/>
    <col min="7" max="7" width="11.42578125" style="2"/>
    <col min="8" max="9" width="18.140625" style="2" bestFit="1" customWidth="1"/>
    <col min="10" max="10" width="15.5703125" style="2" bestFit="1" customWidth="1"/>
    <col min="11" max="11" width="14.5703125" style="2" bestFit="1" customWidth="1"/>
    <col min="12" max="12" width="13.5703125" bestFit="1" customWidth="1"/>
    <col min="13" max="13" width="9.5703125" bestFit="1" customWidth="1"/>
    <col min="14" max="14" width="15.42578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IF(OR(B2=Toussaint,B2=Armistice,WEEKDAY(B2,2)=6,WEEKDAY(B2,2)=7),"WEEKEND","SEMAINE")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1.42578125" style="1"/>
    <col min="3" max="3" width="22.28515625" bestFit="1" customWidth="1"/>
    <col min="4" max="4" width="26" bestFit="1" customWidth="1"/>
    <col min="5" max="5" width="19.140625" bestFit="1" customWidth="1"/>
    <col min="6" max="6" width="22.85546875" bestFit="1" customWidth="1"/>
    <col min="7" max="7" width="17.28515625" style="2" bestFit="1" customWidth="1"/>
    <col min="8" max="9" width="18.140625" style="2" bestFit="1" customWidth="1"/>
    <col min="10" max="10" width="23.5703125" style="2" bestFit="1" customWidth="1"/>
    <col min="11" max="11" width="20.140625" style="2" bestFit="1" customWidth="1"/>
    <col min="12" max="12" width="16.5703125" bestFit="1" customWidth="1"/>
    <col min="13" max="13" width="9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IF(OR(B2=Noel,WEEKDAY(B2,2)=6,WEEKDAY(B2,2)=7),"WEEKEND","SEMAINE")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1.42578125" style="1"/>
    <col min="3" max="4" width="18.140625" bestFit="1" customWidth="1"/>
    <col min="5" max="6" width="15.140625" bestFit="1" customWidth="1"/>
    <col min="7" max="7" width="11.42578125" style="2"/>
    <col min="8" max="9" width="18.140625" style="2" bestFit="1" customWidth="1"/>
    <col min="10" max="10" width="15.5703125" style="2" bestFit="1" customWidth="1"/>
    <col min="11" max="11" width="14.5703125" style="2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42005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IF(OR(B2=N_PremierDelAn,WEEKDAY(B2,2)=6,WEEKDAY(B2,2)=7),"WEEKEND","SEMAINE")</f>
        <v>WEEKEND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1.42578125" style="1"/>
    <col min="3" max="4" width="18.140625" bestFit="1" customWidth="1"/>
    <col min="5" max="6" width="15.140625" bestFit="1" customWidth="1"/>
    <col min="7" max="7" width="11.42578125" style="2"/>
    <col min="8" max="9" width="18.140625" style="2" bestFit="1" customWidth="1"/>
    <col min="10" max="10" width="15.5703125" style="2" bestFit="1" customWidth="1"/>
    <col min="11" max="11" width="14.5703125" style="2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IF(OR(B2=DATE(2015,1,1),WEEKDAY(B2,2)=6,WEEKDAY(B2,2)=7),"WEEKEND","SEMAINE")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" x14ac:dyDescent="0.25"/>
  <cols>
    <col min="1" max="1" width="18.140625" bestFit="1" customWidth="1"/>
    <col min="2" max="2" width="11.42578125" style="1"/>
    <col min="3" max="4" width="18.140625" bestFit="1" customWidth="1"/>
    <col min="5" max="6" width="15.140625" bestFit="1" customWidth="1"/>
    <col min="7" max="7" width="11.42578125" style="2"/>
    <col min="8" max="9" width="18.140625" style="2" bestFit="1" customWidth="1"/>
    <col min="10" max="10" width="15.5703125" style="2" bestFit="1" customWidth="1"/>
    <col min="11" max="11" width="11.42578125" style="2"/>
    <col min="12" max="12" width="13.5703125" bestFit="1" customWidth="1"/>
  </cols>
  <sheetData>
    <row r="1" spans="1:15" ht="30.75" customHeight="1" x14ac:dyDescent="0.25">
      <c r="A1" s="7" t="s">
        <v>2</v>
      </c>
      <c r="B1" s="11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9" t="s">
        <v>5</v>
      </c>
      <c r="I1" s="9" t="s">
        <v>4</v>
      </c>
      <c r="J1" s="9" t="s">
        <v>6</v>
      </c>
      <c r="K1" s="9" t="s">
        <v>7</v>
      </c>
      <c r="L1" s="8" t="s">
        <v>8</v>
      </c>
      <c r="M1" s="7" t="s">
        <v>1</v>
      </c>
      <c r="N1" s="7" t="s">
        <v>9</v>
      </c>
      <c r="O1" s="7" t="s">
        <v>10</v>
      </c>
    </row>
    <row r="2" spans="1:15" x14ac:dyDescent="0.25">
      <c r="A2" s="4"/>
      <c r="B2" s="5">
        <v>42108</v>
      </c>
      <c r="C2" s="4"/>
      <c r="D2" s="4"/>
      <c r="E2" s="4"/>
      <c r="F2" s="4"/>
      <c r="G2" s="6"/>
      <c r="H2" s="6">
        <v>0.20833333333333334</v>
      </c>
      <c r="J2" s="6"/>
      <c r="K2" s="6"/>
      <c r="L2" s="4"/>
      <c r="M2" s="4"/>
      <c r="N2" s="4" t="str">
        <f>IF(OR(B2=N_Paques,WEEKDAY(B2,2)=6,WEEKDAY(B2,2)=7),"WEEKEND","SEMAINE")</f>
        <v>SEMAINE</v>
      </c>
      <c r="O2" s="4" t="str">
        <f>IF(AND(H2&gt;"05:16"*1,H2&lt;"20:16"*1),"JOUR","NUIT")</f>
        <v>NUIT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30</vt:i4>
      </vt:variant>
    </vt:vector>
  </HeadingPairs>
  <TitlesOfParts>
    <vt:vector size="45" baseType="lpstr">
      <vt:lpstr>Jours_Fériés</vt:lpstr>
      <vt:lpstr>Jours_Ouvrés</vt:lpstr>
      <vt:lpstr>Sept_N-1</vt:lpstr>
      <vt:lpstr>Oct_N-1</vt:lpstr>
      <vt:lpstr>Nov_N-1</vt:lpstr>
      <vt:lpstr>Dec_N-1</vt:lpstr>
      <vt:lpstr>Janv_N</vt:lpstr>
      <vt:lpstr>Fevr_N</vt:lpstr>
      <vt:lpstr>Mars_N</vt:lpstr>
      <vt:lpstr>Avril_N</vt:lpstr>
      <vt:lpstr>Mai_N</vt:lpstr>
      <vt:lpstr>Juin_N</vt:lpstr>
      <vt:lpstr>Juillet_N</vt:lpstr>
      <vt:lpstr>Aout_N</vt:lpstr>
      <vt:lpstr>CUMUL</vt:lpstr>
      <vt:lpstr>Armistice</vt:lpstr>
      <vt:lpstr>Ascension</vt:lpstr>
      <vt:lpstr>Assomption</vt:lpstr>
      <vt:lpstr>FêteDuTravail</vt:lpstr>
      <vt:lpstr>FêteNationale</vt:lpstr>
      <vt:lpstr>LundiDePaques</vt:lpstr>
      <vt:lpstr>LundiDePentecôte</vt:lpstr>
      <vt:lpstr>N_Armistice</vt:lpstr>
      <vt:lpstr>N_Ascension</vt:lpstr>
      <vt:lpstr>N_Assomption</vt:lpstr>
      <vt:lpstr>N_FêteDuTravail</vt:lpstr>
      <vt:lpstr>N_FêteNationale</vt:lpstr>
      <vt:lpstr>N_LundiDePaques</vt:lpstr>
      <vt:lpstr>N_LundiDePencôte</vt:lpstr>
      <vt:lpstr>N_Noel</vt:lpstr>
      <vt:lpstr>N_Paques</vt:lpstr>
      <vt:lpstr>N_Pentecôte</vt:lpstr>
      <vt:lpstr>N_PremierDelAn</vt:lpstr>
      <vt:lpstr>N_Toussaint</vt:lpstr>
      <vt:lpstr>N_Victoire1945</vt:lpstr>
      <vt:lpstr>Noel</vt:lpstr>
      <vt:lpstr>Paques</vt:lpstr>
      <vt:lpstr>Pâques</vt:lpstr>
      <vt:lpstr>Pentecôte</vt:lpstr>
      <vt:lpstr>PremierDelAn</vt:lpstr>
      <vt:lpstr>PremierDelAn_N</vt:lpstr>
      <vt:lpstr>Saisir_Année</vt:lpstr>
      <vt:lpstr>Saisir_Année2</vt:lpstr>
      <vt:lpstr>Toussaint</vt:lpstr>
      <vt:lpstr>Victoire1945</vt:lpstr>
    </vt:vector>
  </TitlesOfParts>
  <Company>CHU de Bordeaux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jammet clemence</dc:creator>
  <cp:lastModifiedBy>jammet clemence</cp:lastModifiedBy>
  <dcterms:created xsi:type="dcterms:W3CDTF">2015-04-14T07:01:29Z</dcterms:created>
  <dcterms:modified xsi:type="dcterms:W3CDTF">2015-04-14T13:07:28Z</dcterms:modified>
</cp:coreProperties>
</file>