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480" yWindow="300" windowWidth="18495" windowHeight="11640"/>
  </bookViews>
  <sheets>
    <sheet name="Environnement International" sheetId="4" r:id="rId1"/>
    <sheet name="Secteur secondaire" sheetId="5" r:id="rId2"/>
  </sheets>
  <definedNames>
    <definedName name="AnneePrecedenteComplement">#REF!</definedName>
    <definedName name="AnneePrecedenteTranspordement">#REF!</definedName>
    <definedName name="AnneePrecendente">#REF!</definedName>
    <definedName name="AnneePrecendenteCalcul">#REF!</definedName>
    <definedName name="Bimestre">#REF!</definedName>
    <definedName name="Bimestreencours">#REF!</definedName>
    <definedName name="Complément">#REF!</definedName>
    <definedName name="ComplémentIHPC">#REF!</definedName>
    <definedName name="DepensesTrimestres">#REF!</definedName>
    <definedName name="DeuxAnneesAvant">#REF!</definedName>
    <definedName name="DonneesInitiales">#REF!</definedName>
    <definedName name="DouzeDerniersMois">#REF!</definedName>
    <definedName name="Ipi">#REF!</definedName>
    <definedName name="IPIpublication">#REF!</definedName>
    <definedName name="IpiRecap">#REF!</definedName>
    <definedName name="IPItransbord">#REF!</definedName>
    <definedName name="Port">#REF!</definedName>
    <definedName name="Recettes">#REF!</definedName>
    <definedName name="TDB">#REF!</definedName>
    <definedName name="Transbordement">#REF!</definedName>
    <definedName name="TrimestreEncours">#REF!</definedName>
    <definedName name="_xlnm.Print_Area" localSheetId="0">'Environnement International'!$B$3:$DM$127</definedName>
    <definedName name="_xlnm.Print_Area" localSheetId="1">'Secteur secondaire'!$B$2:$FU$116</definedName>
  </definedNames>
  <calcPr calcId="125725"/>
</workbook>
</file>

<file path=xl/calcChain.xml><?xml version="1.0" encoding="utf-8"?>
<calcChain xmlns="http://schemas.openxmlformats.org/spreadsheetml/2006/main">
  <c r="C16" i="5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K16"/>
  <c r="AM16"/>
  <c r="AN16"/>
  <c r="AO16"/>
  <c r="AP16"/>
  <c r="AQ16"/>
  <c r="AR16"/>
  <c r="AS16"/>
  <c r="AT16"/>
  <c r="AU16"/>
  <c r="AV16"/>
  <c r="AW16"/>
  <c r="AY16"/>
  <c r="AZ16"/>
  <c r="BA16"/>
  <c r="BD16"/>
  <c r="BE16"/>
  <c r="BF16"/>
  <c r="BG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I16"/>
  <c r="CJ16"/>
  <c r="CK16"/>
  <c r="CL16"/>
  <c r="CM16"/>
  <c r="CN16"/>
  <c r="CO16"/>
  <c r="CP16"/>
  <c r="CQ16"/>
  <c r="CR16"/>
  <c r="CS16"/>
  <c r="CT16"/>
  <c r="CU16"/>
  <c r="CV16"/>
  <c r="CW16"/>
  <c r="CX16"/>
  <c r="CY16"/>
  <c r="CZ16"/>
  <c r="DA16"/>
  <c r="DB16"/>
  <c r="DC16"/>
  <c r="DD16"/>
  <c r="DE16"/>
  <c r="DF16"/>
  <c r="DG16"/>
  <c r="DH16"/>
  <c r="DI16"/>
  <c r="DJ16"/>
  <c r="DK16"/>
  <c r="DK17"/>
  <c r="DL17"/>
  <c r="DL16" s="1"/>
  <c r="DM16" s="1"/>
  <c r="AJ18"/>
  <c r="AJ16" s="1"/>
  <c r="AK18"/>
  <c r="AL18"/>
  <c r="AL16" s="1"/>
  <c r="AO18"/>
  <c r="AX18"/>
  <c r="AX16" s="1"/>
  <c r="BB18"/>
  <c r="BB16" s="1"/>
  <c r="BC18"/>
  <c r="BC16" s="1"/>
  <c r="BG18"/>
  <c r="BH18"/>
  <c r="BH16" s="1"/>
  <c r="DK18"/>
  <c r="DL18"/>
  <c r="DM18" s="1"/>
  <c r="C19"/>
  <c r="D19"/>
  <c r="E19"/>
  <c r="F19"/>
  <c r="G19"/>
  <c r="H19"/>
  <c r="I19"/>
  <c r="J19"/>
  <c r="K19"/>
  <c r="L19"/>
  <c r="M19"/>
  <c r="N19"/>
  <c r="O19"/>
  <c r="P19"/>
  <c r="Q19"/>
  <c r="S19"/>
  <c r="U19"/>
  <c r="W19"/>
  <c r="Y19"/>
  <c r="Z19"/>
  <c r="AD19"/>
  <c r="AE19"/>
  <c r="AF19"/>
  <c r="AG19"/>
  <c r="AH19"/>
  <c r="AI19"/>
  <c r="AJ19"/>
  <c r="AK19"/>
  <c r="AL19"/>
  <c r="AM19"/>
  <c r="AV19"/>
  <c r="AW19"/>
  <c r="AY19"/>
  <c r="AZ19"/>
  <c r="BC19"/>
  <c r="BE19"/>
  <c r="BG19"/>
  <c r="BJ19"/>
  <c r="BK19"/>
  <c r="BN19"/>
  <c r="BO19"/>
  <c r="BP19"/>
  <c r="BT19"/>
  <c r="BU19"/>
  <c r="BV19"/>
  <c r="BW19"/>
  <c r="BX19"/>
  <c r="CB19"/>
  <c r="CC19"/>
  <c r="CE19"/>
  <c r="CF19"/>
  <c r="CG19"/>
  <c r="CH19"/>
  <c r="CJ19"/>
  <c r="CK19"/>
  <c r="CL19"/>
  <c r="CM19"/>
  <c r="CN19"/>
  <c r="CO19"/>
  <c r="CP19"/>
  <c r="CQ19"/>
  <c r="CS19"/>
  <c r="CT19"/>
  <c r="CU19"/>
  <c r="CV19"/>
  <c r="CW19"/>
  <c r="CX19"/>
  <c r="CY19"/>
  <c r="CZ19"/>
  <c r="DA19"/>
  <c r="DB19"/>
  <c r="DC19"/>
  <c r="DD19"/>
  <c r="DE19"/>
  <c r="DF19"/>
  <c r="DG19"/>
  <c r="DH19"/>
  <c r="DI19"/>
  <c r="DJ19"/>
  <c r="AX21"/>
  <c r="AX19" s="1"/>
  <c r="DK21"/>
  <c r="DK19" s="1"/>
  <c r="DL21"/>
  <c r="DL19" s="1"/>
  <c r="Q22"/>
  <c r="R22"/>
  <c r="R19" s="1"/>
  <c r="T22"/>
  <c r="T19" s="1"/>
  <c r="V22"/>
  <c r="V19" s="1"/>
  <c r="X22"/>
  <c r="X19" s="1"/>
  <c r="AA22"/>
  <c r="AA19" s="1"/>
  <c r="AB22"/>
  <c r="AB19" s="1"/>
  <c r="AC22"/>
  <c r="AC19" s="1"/>
  <c r="AN22"/>
  <c r="AN19" s="1"/>
  <c r="AO22"/>
  <c r="AO19" s="1"/>
  <c r="AP22"/>
  <c r="AP19" s="1"/>
  <c r="AQ22"/>
  <c r="AQ19" s="1"/>
  <c r="AR22"/>
  <c r="AR19" s="1"/>
  <c r="AS22"/>
  <c r="AS19" s="1"/>
  <c r="AT22"/>
  <c r="AT19" s="1"/>
  <c r="AU22"/>
  <c r="AU19" s="1"/>
  <c r="AW22"/>
  <c r="AX22"/>
  <c r="AY22"/>
  <c r="BA22"/>
  <c r="BA19" s="1"/>
  <c r="BB22"/>
  <c r="BB19" s="1"/>
  <c r="BD22"/>
  <c r="BD19" s="1"/>
  <c r="BE22"/>
  <c r="BF22"/>
  <c r="BF19" s="1"/>
  <c r="BH22"/>
  <c r="BH19" s="1"/>
  <c r="BI22"/>
  <c r="BI19" s="1"/>
  <c r="BL22"/>
  <c r="BL19" s="1"/>
  <c r="BM22"/>
  <c r="BM19" s="1"/>
  <c r="BO22"/>
  <c r="BQ22"/>
  <c r="BQ19" s="1"/>
  <c r="BR22"/>
  <c r="BR19" s="1"/>
  <c r="BS22"/>
  <c r="BS19" s="1"/>
  <c r="BW22"/>
  <c r="BY22"/>
  <c r="BY19" s="1"/>
  <c r="BZ22"/>
  <c r="BZ19" s="1"/>
  <c r="CA22"/>
  <c r="CA19" s="1"/>
  <c r="CD22"/>
  <c r="CD19" s="1"/>
  <c r="CI22"/>
  <c r="CI19" s="1"/>
  <c r="CR22"/>
  <c r="CR19" s="1"/>
  <c r="DK22"/>
  <c r="DL22"/>
  <c r="AX23"/>
  <c r="DK23"/>
  <c r="DL23"/>
  <c r="DM23" s="1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AZ24"/>
  <c r="BA24"/>
  <c r="BB24"/>
  <c r="BC24"/>
  <c r="BD24"/>
  <c r="BE24"/>
  <c r="BF24"/>
  <c r="BG24"/>
  <c r="BH24"/>
  <c r="BI24"/>
  <c r="BJ24"/>
  <c r="BK24"/>
  <c r="BL24"/>
  <c r="BM24"/>
  <c r="BN24"/>
  <c r="BO24"/>
  <c r="BP24"/>
  <c r="BQ24"/>
  <c r="BR24"/>
  <c r="BS24"/>
  <c r="BT24"/>
  <c r="BU24"/>
  <c r="BV24"/>
  <c r="BW24"/>
  <c r="BX24"/>
  <c r="BY24"/>
  <c r="BZ24"/>
  <c r="CA24"/>
  <c r="CB24"/>
  <c r="CC24"/>
  <c r="CD24"/>
  <c r="CE24"/>
  <c r="CF24"/>
  <c r="CG24"/>
  <c r="CH24"/>
  <c r="CI24"/>
  <c r="CJ24"/>
  <c r="CK24"/>
  <c r="CL24"/>
  <c r="CM24"/>
  <c r="CN24"/>
  <c r="CO24"/>
  <c r="CP24"/>
  <c r="CQ24"/>
  <c r="CR24"/>
  <c r="CS24"/>
  <c r="CT24"/>
  <c r="CU24"/>
  <c r="CV24"/>
  <c r="CW24"/>
  <c r="CX24"/>
  <c r="CY24"/>
  <c r="CZ24"/>
  <c r="DA24"/>
  <c r="DB24"/>
  <c r="DC24"/>
  <c r="DD24"/>
  <c r="DE24"/>
  <c r="DF24"/>
  <c r="DG24"/>
  <c r="DH24"/>
  <c r="DI24"/>
  <c r="DJ24"/>
  <c r="DK26"/>
  <c r="DL26"/>
  <c r="DL24" s="1"/>
  <c r="DK27"/>
  <c r="DK24" s="1"/>
  <c r="DL27"/>
  <c r="DM27"/>
  <c r="DK28"/>
  <c r="DL28"/>
  <c r="DM28" s="1"/>
  <c r="DK30"/>
  <c r="DM30" s="1"/>
  <c r="DL30"/>
  <c r="DK31"/>
  <c r="DL31"/>
  <c r="DM31" s="1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T40"/>
  <c r="AZ40"/>
  <c r="BI40"/>
  <c r="DK40"/>
  <c r="DL40"/>
  <c r="DM40" s="1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AI41"/>
  <c r="AJ41"/>
  <c r="AK41"/>
  <c r="AL41"/>
  <c r="DK41"/>
  <c r="DM41" s="1"/>
  <c r="DL41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AI42"/>
  <c r="AJ42"/>
  <c r="AK42"/>
  <c r="AL42"/>
  <c r="DK42"/>
  <c r="DL42"/>
  <c r="DM42" s="1"/>
  <c r="DK46"/>
  <c r="DM46" s="1"/>
  <c r="DL46"/>
  <c r="DK47"/>
  <c r="DL47"/>
  <c r="DM47" s="1"/>
  <c r="V58"/>
  <c r="DK58"/>
  <c r="DL58"/>
  <c r="DM58" s="1"/>
  <c r="V59"/>
  <c r="BU59"/>
  <c r="BV59"/>
  <c r="CK59"/>
  <c r="CL59"/>
  <c r="CP59"/>
  <c r="CS59"/>
  <c r="CS60" s="1"/>
  <c r="DK59"/>
  <c r="DL59"/>
  <c r="DM59" s="1"/>
  <c r="V60"/>
  <c r="BU60"/>
  <c r="BV60"/>
  <c r="CK60"/>
  <c r="CL60"/>
  <c r="CM60"/>
  <c r="CP60"/>
  <c r="DK60"/>
  <c r="DM60" s="1"/>
  <c r="DL60"/>
  <c r="AW62"/>
  <c r="BY62"/>
  <c r="DM62"/>
  <c r="AW63"/>
  <c r="BJ63"/>
  <c r="BB64"/>
  <c r="DM64"/>
  <c r="DK73"/>
  <c r="DM73" s="1"/>
  <c r="DL73"/>
  <c r="DK74"/>
  <c r="DL74"/>
  <c r="DM74" s="1"/>
  <c r="DK75"/>
  <c r="DL75"/>
  <c r="DM75"/>
  <c r="DK76"/>
  <c r="DL76"/>
  <c r="DM76" s="1"/>
  <c r="DK77"/>
  <c r="DM77" s="1"/>
  <c r="DL77"/>
  <c r="DK78"/>
  <c r="DL78"/>
  <c r="DM78" s="1"/>
  <c r="DK79"/>
  <c r="DL79"/>
  <c r="DM79"/>
  <c r="DK80"/>
  <c r="DL80"/>
  <c r="DM80" s="1"/>
  <c r="DK81"/>
  <c r="DM81" s="1"/>
  <c r="DL81"/>
  <c r="DK82"/>
  <c r="DL82"/>
  <c r="DM82" s="1"/>
  <c r="DK83"/>
  <c r="DL83"/>
  <c r="DM83"/>
  <c r="DK84"/>
  <c r="DL84"/>
  <c r="DM84" s="1"/>
  <c r="DK85"/>
  <c r="DM85" s="1"/>
  <c r="DL85"/>
  <c r="DK86"/>
  <c r="DL86"/>
  <c r="DM86" s="1"/>
  <c r="DK87"/>
  <c r="DL87"/>
  <c r="DM87"/>
  <c r="DK88"/>
  <c r="DL88"/>
  <c r="DM88" s="1"/>
  <c r="DK89"/>
  <c r="DM89" s="1"/>
  <c r="DL89"/>
  <c r="DK90"/>
  <c r="DL90"/>
  <c r="DM90" s="1"/>
  <c r="DK91"/>
  <c r="DL91"/>
  <c r="DM91"/>
  <c r="DK92"/>
  <c r="DL92"/>
  <c r="DM92" s="1"/>
  <c r="DK93"/>
  <c r="DM93" s="1"/>
  <c r="DL93"/>
  <c r="DK94"/>
  <c r="DL94"/>
  <c r="DM94" s="1"/>
  <c r="DK95"/>
  <c r="DL95"/>
  <c r="DM95"/>
  <c r="DK96"/>
  <c r="DL96"/>
  <c r="DM96" s="1"/>
  <c r="DK97"/>
  <c r="DM97" s="1"/>
  <c r="DL97"/>
  <c r="DK98"/>
  <c r="DL98"/>
  <c r="DM98" s="1"/>
  <c r="DK99"/>
  <c r="DL99"/>
  <c r="DM99"/>
  <c r="DK100"/>
  <c r="DL100"/>
  <c r="DM100" s="1"/>
  <c r="DK101"/>
  <c r="DM101" s="1"/>
  <c r="DL101"/>
  <c r="DK102"/>
  <c r="DL102"/>
  <c r="DM102" s="1"/>
  <c r="DK103"/>
  <c r="DL103"/>
  <c r="DM103"/>
  <c r="DK104"/>
  <c r="DL104"/>
  <c r="DM104" s="1"/>
  <c r="DK105"/>
  <c r="DM105" s="1"/>
  <c r="DL105"/>
  <c r="DK106"/>
  <c r="DL106"/>
  <c r="DM106" s="1"/>
  <c r="DK107"/>
  <c r="DL107"/>
  <c r="DM107" s="1"/>
  <c r="DK108"/>
  <c r="DL108"/>
  <c r="DM108"/>
  <c r="DK109"/>
  <c r="DL109"/>
  <c r="DM109" s="1"/>
  <c r="DK110"/>
  <c r="DM110" s="1"/>
  <c r="DL110"/>
  <c r="DK111"/>
  <c r="DM111" s="1"/>
  <c r="DL111"/>
  <c r="DK112"/>
  <c r="DL112"/>
  <c r="DM112" s="1"/>
  <c r="DK113"/>
  <c r="DL113"/>
  <c r="DM113"/>
  <c r="DK114"/>
  <c r="DL114"/>
  <c r="DM114" s="1"/>
  <c r="DK115"/>
  <c r="DM115" s="1"/>
  <c r="DL115"/>
  <c r="DM19" l="1"/>
  <c r="DM24"/>
  <c r="DM21"/>
  <c r="DM17"/>
  <c r="DM26"/>
</calcChain>
</file>

<file path=xl/sharedStrings.xml><?xml version="1.0" encoding="utf-8"?>
<sst xmlns="http://schemas.openxmlformats.org/spreadsheetml/2006/main" count="668" uniqueCount="188">
  <si>
    <r>
      <t>Tableau 1</t>
    </r>
    <r>
      <rPr>
        <b/>
        <sz val="24"/>
        <rFont val="Times New Roman"/>
        <family val="1"/>
      </rPr>
      <t>: Environnement international</t>
    </r>
  </si>
  <si>
    <t>COURS  MATIER. Premières</t>
  </si>
  <si>
    <t>janv-06</t>
  </si>
  <si>
    <t>févr</t>
  </si>
  <si>
    <t>mars</t>
  </si>
  <si>
    <t>avril</t>
  </si>
  <si>
    <t>mai</t>
  </si>
  <si>
    <t>juin</t>
  </si>
  <si>
    <t>juil</t>
  </si>
  <si>
    <t>aout</t>
  </si>
  <si>
    <t>sept</t>
  </si>
  <si>
    <t>oct</t>
  </si>
  <si>
    <t>nov</t>
  </si>
  <si>
    <t>déc</t>
  </si>
  <si>
    <t>janv-07</t>
  </si>
  <si>
    <t>janv-08</t>
  </si>
  <si>
    <t>juin-08</t>
  </si>
  <si>
    <t>juillet</t>
  </si>
  <si>
    <t>août</t>
  </si>
  <si>
    <t>janv-09</t>
  </si>
  <si>
    <t>février</t>
  </si>
  <si>
    <t>septembre</t>
  </si>
  <si>
    <t>octobre</t>
  </si>
  <si>
    <t>novembre</t>
  </si>
  <si>
    <t>décembre</t>
  </si>
  <si>
    <t>janvier-10</t>
  </si>
  <si>
    <t>mars-10</t>
  </si>
  <si>
    <t>avril-10</t>
  </si>
  <si>
    <t>mai-10</t>
  </si>
  <si>
    <t>janvier-11</t>
  </si>
  <si>
    <t>mars-11</t>
  </si>
  <si>
    <t>avril-11</t>
  </si>
  <si>
    <t>mai-11</t>
  </si>
  <si>
    <t>juin-11</t>
  </si>
  <si>
    <t>janvier</t>
  </si>
  <si>
    <t>Huile d'arachide  $ / t</t>
  </si>
  <si>
    <t>Huile de palme $/t</t>
  </si>
  <si>
    <t>Riz $/t</t>
  </si>
  <si>
    <t>Maïs  $/t</t>
  </si>
  <si>
    <t>Coton en $/t</t>
  </si>
  <si>
    <t>Phosphate $/t</t>
  </si>
  <si>
    <t xml:space="preserve">  Pétrole,  BRENT $/bl</t>
  </si>
  <si>
    <t xml:space="preserve">   Coton (cents/Ib)</t>
  </si>
  <si>
    <t>CHANGES (par rapport au cfa)</t>
  </si>
  <si>
    <t xml:space="preserve">  Cours du DTS</t>
  </si>
  <si>
    <t xml:space="preserve">  Cours de l'Euro</t>
  </si>
  <si>
    <t xml:space="preserve">  Cours du Dollar USA</t>
  </si>
  <si>
    <t>COURS EURO / DOLLAR USA</t>
  </si>
  <si>
    <t>TAUX D'INTERET NOMINAL</t>
  </si>
  <si>
    <t xml:space="preserve"> (court terme)</t>
  </si>
  <si>
    <t xml:space="preserve">  France </t>
  </si>
  <si>
    <t xml:space="preserve">  USA </t>
  </si>
  <si>
    <t xml:space="preserve">  Allemagne</t>
  </si>
  <si>
    <t xml:space="preserve">  Royaume Uni</t>
  </si>
  <si>
    <t xml:space="preserve">  Japon </t>
  </si>
  <si>
    <t xml:space="preserve">  (long terme)</t>
  </si>
  <si>
    <t>_</t>
  </si>
  <si>
    <t xml:space="preserve">  USA</t>
  </si>
  <si>
    <t xml:space="preserve">  Japon</t>
  </si>
  <si>
    <t>PRIX  A LA CONSOMMATION</t>
  </si>
  <si>
    <t xml:space="preserve">   (Glissement sur 12 mois)</t>
  </si>
  <si>
    <t xml:space="preserve">  France</t>
  </si>
  <si>
    <t xml:space="preserve">  Royaume  Uni</t>
  </si>
  <si>
    <t xml:space="preserve">  Zone Euro</t>
  </si>
  <si>
    <r>
      <rPr>
        <b/>
        <u/>
        <sz val="16"/>
        <rFont val="Times New Roman"/>
        <family val="1"/>
      </rPr>
      <t>Source</t>
    </r>
    <r>
      <rPr>
        <b/>
        <sz val="16"/>
        <rFont val="Times New Roman"/>
        <family val="1"/>
      </rPr>
      <t>: INSEE, AFRISTAT, FIGARO</t>
    </r>
  </si>
  <si>
    <t xml:space="preserve">     </t>
  </si>
  <si>
    <t xml:space="preserve"> </t>
  </si>
  <si>
    <r>
      <rPr>
        <b/>
        <u/>
        <sz val="50"/>
        <rFont val="Times New Roman"/>
        <family val="1"/>
      </rPr>
      <t>Source</t>
    </r>
    <r>
      <rPr>
        <sz val="50"/>
        <rFont val="Times New Roman"/>
        <family val="1"/>
      </rPr>
      <t>: DPEE/MEF</t>
    </r>
  </si>
  <si>
    <t>INDICE D'ENSEMBLE</t>
  </si>
  <si>
    <t>BATIMENTS TP CONSTRUCTIONS</t>
  </si>
  <si>
    <t>Installations et finition</t>
  </si>
  <si>
    <t>Préparation et sites et construction de BTP</t>
  </si>
  <si>
    <t>Hydraulique, assainissement, voierie</t>
  </si>
  <si>
    <t>INDUSTRIE</t>
  </si>
  <si>
    <t>Energie</t>
  </si>
  <si>
    <t>traitement et distribution d'eau</t>
  </si>
  <si>
    <t>Production et distribution de gaz</t>
  </si>
  <si>
    <t>Production et distribution d'électricité</t>
  </si>
  <si>
    <t>Autres activités de fabrication</t>
  </si>
  <si>
    <t>Réparation navales</t>
  </si>
  <si>
    <t>Machines et matériels électriques</t>
  </si>
  <si>
    <t>Produits metallurgiques</t>
  </si>
  <si>
    <t>Produits mineraux pour la construction</t>
  </si>
  <si>
    <t>Produits en caoutchouc ou en plastiques</t>
  </si>
  <si>
    <t>Industries chimiques</t>
  </si>
  <si>
    <t>Produits chimiques divers</t>
  </si>
  <si>
    <t>produits chimiques de base</t>
  </si>
  <si>
    <t>Fabrication de savons</t>
  </si>
  <si>
    <t>Fabrication de pdts pharmaceutiques</t>
  </si>
  <si>
    <t>Produits de raffinage</t>
  </si>
  <si>
    <t>Edition et imprimerie</t>
  </si>
  <si>
    <t>Fabrication d'articles en papier ou en carton</t>
  </si>
  <si>
    <t>Fabrication d'articles en bois</t>
  </si>
  <si>
    <t>Fabrication de textiles et de cuir</t>
  </si>
  <si>
    <t>Fabrication du cuir et d'articles en cuir</t>
  </si>
  <si>
    <t>Fabrication de textiles</t>
  </si>
  <si>
    <t>Industries alimentaires</t>
  </si>
  <si>
    <t>Fabrication de produits à base de tabac</t>
  </si>
  <si>
    <t>Fabrication de boissons</t>
  </si>
  <si>
    <t>Fabrication de produits alimentaires divers</t>
  </si>
  <si>
    <t>Fabrication de condiments et assaisonnements</t>
  </si>
  <si>
    <t>Fabrication de sucre</t>
  </si>
  <si>
    <t>Fabrication de produits alimentaires à base de céréales</t>
  </si>
  <si>
    <t xml:space="preserve">Travail des grains </t>
  </si>
  <si>
    <t>Fabrication de produits laitiers</t>
  </si>
  <si>
    <t>Fabrication de corps gras</t>
  </si>
  <si>
    <t>Transformation et conservations de poissons</t>
  </si>
  <si>
    <t>Abattage, transformation et conserves de viande</t>
  </si>
  <si>
    <t xml:space="preserve"> Activités extractives</t>
  </si>
  <si>
    <t>Autres activités extractives diverses</t>
  </si>
  <si>
    <t>Extractions pierres et sables</t>
  </si>
  <si>
    <t>2015/2014</t>
  </si>
  <si>
    <t>2015</t>
  </si>
  <si>
    <t>2014</t>
  </si>
  <si>
    <t>janvier-12</t>
  </si>
  <si>
    <t>janv-11</t>
  </si>
  <si>
    <t>févr-10</t>
  </si>
  <si>
    <t>Juillet</t>
  </si>
  <si>
    <t>Mai</t>
  </si>
  <si>
    <t>Avril</t>
  </si>
  <si>
    <t>Mars</t>
  </si>
  <si>
    <t>Février</t>
  </si>
  <si>
    <t>janvier-08</t>
  </si>
  <si>
    <t>Var (%)</t>
  </si>
  <si>
    <t>Moyenne 4 mois</t>
  </si>
  <si>
    <t>BRANCHES</t>
  </si>
  <si>
    <r>
      <rPr>
        <b/>
        <u/>
        <sz val="70"/>
        <rFont val="Times New Roman"/>
        <family val="1"/>
      </rPr>
      <t xml:space="preserve"> Tableau 6</t>
    </r>
    <r>
      <rPr>
        <b/>
        <sz val="70"/>
        <rFont val="Times New Roman"/>
        <family val="1"/>
      </rPr>
      <t xml:space="preserve"> : Indice du Chiffre d'Affaires de l'Industrie et des BTP</t>
    </r>
  </si>
  <si>
    <t>*= données provisoires en janvier 2015</t>
  </si>
  <si>
    <r>
      <rPr>
        <b/>
        <u/>
        <sz val="40"/>
        <rFont val="Times New Roman"/>
        <family val="1"/>
      </rPr>
      <t>Source</t>
    </r>
    <r>
      <rPr>
        <b/>
        <sz val="40"/>
        <rFont val="Times New Roman"/>
        <family val="1"/>
      </rPr>
      <t>: SNSS,SODEFITEX</t>
    </r>
  </si>
  <si>
    <t xml:space="preserve"> Ventes à l'exportation</t>
  </si>
  <si>
    <t>-</t>
  </si>
  <si>
    <t xml:space="preserve"> Ventes Locales</t>
  </si>
  <si>
    <t>Production</t>
  </si>
  <si>
    <t>COTON  (Sodefitex  en tonnes)</t>
  </si>
  <si>
    <t xml:space="preserve"> Ventes à l'exportation*</t>
  </si>
  <si>
    <t>Ventes locales*</t>
  </si>
  <si>
    <t xml:space="preserve">       SEL (Unités en tonne)</t>
  </si>
  <si>
    <t>avr</t>
  </si>
  <si>
    <t>déc-06</t>
  </si>
  <si>
    <t>nov-06</t>
  </si>
  <si>
    <t>oct-06</t>
  </si>
  <si>
    <t>sept-06</t>
  </si>
  <si>
    <t>août-06</t>
  </si>
  <si>
    <t>juil-06</t>
  </si>
  <si>
    <t>juin-06</t>
  </si>
  <si>
    <t>mai-06</t>
  </si>
  <si>
    <t>avril-06</t>
  </si>
  <si>
    <t>mars-06</t>
  </si>
  <si>
    <t>févr-06</t>
  </si>
  <si>
    <t>Cumul 4 mois</t>
  </si>
  <si>
    <r>
      <t>Tableau 5</t>
    </r>
    <r>
      <rPr>
        <b/>
        <sz val="70"/>
        <rFont val="Times New Roman"/>
        <family val="1"/>
      </rPr>
      <t xml:space="preserve"> :Production de sel et de coton</t>
    </r>
  </si>
  <si>
    <r>
      <rPr>
        <b/>
        <u/>
        <sz val="35"/>
        <rFont val="Times New Roman"/>
        <family val="1"/>
      </rPr>
      <t>Source</t>
    </r>
    <r>
      <rPr>
        <b/>
        <sz val="35"/>
        <rFont val="Times New Roman"/>
        <family val="1"/>
      </rPr>
      <t>: SOCOCIM, CIMENTS DU SAHEL, ICS_CHIMIE</t>
    </r>
  </si>
  <si>
    <t>Engrais solides</t>
  </si>
  <si>
    <t xml:space="preserve"> Acide  phosphorique</t>
  </si>
  <si>
    <t>PRODUCTION (1000 tonnes)</t>
  </si>
  <si>
    <t>CHIMIQUES</t>
  </si>
  <si>
    <t xml:space="preserve">PRODUITS </t>
  </si>
  <si>
    <t xml:space="preserve"> Ventes locales</t>
  </si>
  <si>
    <t>aout-07</t>
  </si>
  <si>
    <t>juil-07</t>
  </si>
  <si>
    <t>juin-07</t>
  </si>
  <si>
    <t>mai-07</t>
  </si>
  <si>
    <t>avril-07</t>
  </si>
  <si>
    <t>mars-07</t>
  </si>
  <si>
    <t>févr-07</t>
  </si>
  <si>
    <t>CIMENT (1000 tonnes</t>
  </si>
  <si>
    <r>
      <t xml:space="preserve">Tableau 4 </t>
    </r>
    <r>
      <rPr>
        <b/>
        <sz val="70"/>
        <rFont val="Times New Roman"/>
        <family val="1"/>
      </rPr>
      <t>: Production de ciment et de produits chimiques</t>
    </r>
  </si>
  <si>
    <r>
      <rPr>
        <b/>
        <u/>
        <sz val="35"/>
        <rFont val="Times New Roman"/>
        <family val="1"/>
      </rPr>
      <t>Source</t>
    </r>
    <r>
      <rPr>
        <b/>
        <sz val="35"/>
        <rFont val="Times New Roman"/>
        <family val="1"/>
      </rPr>
      <t>: ICS, SUNEOR, SSPT, SENELEC et SDE</t>
    </r>
  </si>
  <si>
    <t>Production vendue</t>
  </si>
  <si>
    <t>PRODUCTION</t>
  </si>
  <si>
    <t>SOCIETE DES EAUX (milloins de m3)</t>
  </si>
  <si>
    <t xml:space="preserve"> haute tension</t>
  </si>
  <si>
    <t xml:space="preserve"> moyenne tension</t>
  </si>
  <si>
    <t xml:space="preserve"> basse tension</t>
  </si>
  <si>
    <t xml:space="preserve">      </t>
  </si>
  <si>
    <t>ELECTRICITE (millions de kwh)</t>
  </si>
  <si>
    <t xml:space="preserve">CONS. </t>
  </si>
  <si>
    <t xml:space="preserve">  tourteaux</t>
  </si>
  <si>
    <t xml:space="preserve">  huile raffinée</t>
  </si>
  <si>
    <t xml:space="preserve">  huile brute</t>
  </si>
  <si>
    <t>ARACHIDIERS</t>
  </si>
  <si>
    <t>PRODUITS</t>
  </si>
  <si>
    <t xml:space="preserve"> attapulgite</t>
  </si>
  <si>
    <t>phos. de calcium</t>
  </si>
  <si>
    <t xml:space="preserve">PHOSPHATES </t>
  </si>
  <si>
    <t>fév</t>
  </si>
  <si>
    <t>de la SDE et Consommation d'électricité</t>
  </si>
  <si>
    <r>
      <t>Tableau 3</t>
    </r>
    <r>
      <rPr>
        <b/>
        <sz val="70"/>
        <rFont val="Times New Roman"/>
        <family val="1"/>
      </rPr>
      <t xml:space="preserve">: Production de phosphates, de produits arachidiers,  </t>
    </r>
  </si>
</sst>
</file>

<file path=xl/styles.xml><?xml version="1.0" encoding="utf-8"?>
<styleSheet xmlns="http://schemas.openxmlformats.org/spreadsheetml/2006/main">
  <numFmts count="7">
    <numFmt numFmtId="164" formatCode="0.0"/>
    <numFmt numFmtId="165" formatCode="mmm\-yyyy"/>
    <numFmt numFmtId="166" formatCode="#,##0.0"/>
    <numFmt numFmtId="167" formatCode="_-* #,##0.00\ [$€-1]_-;\-* #,##0.00\ [$€-1]_-;_-* &quot;-&quot;??\ [$€-1]_-"/>
    <numFmt numFmtId="168" formatCode="0.00000"/>
    <numFmt numFmtId="169" formatCode="#,##0.000000"/>
    <numFmt numFmtId="170" formatCode="0.0%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4"/>
      <name val="Times New Roman"/>
      <family val="1"/>
    </font>
    <font>
      <b/>
      <u/>
      <sz val="24"/>
      <name val="Times New Roman"/>
      <family val="1"/>
    </font>
    <font>
      <b/>
      <sz val="24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10"/>
      <name val="Arial"/>
      <family val="2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sz val="20"/>
      <color indexed="8"/>
      <name val="Arial"/>
      <family val="2"/>
    </font>
    <font>
      <sz val="20"/>
      <name val="Arial"/>
      <family val="2"/>
    </font>
    <font>
      <sz val="20"/>
      <color theme="1"/>
      <name val="Arial"/>
      <family val="2"/>
    </font>
    <font>
      <sz val="20"/>
      <name val="Times New Roman"/>
      <family val="1"/>
    </font>
    <font>
      <sz val="20"/>
      <color rgb="FFFF0000"/>
      <name val="Times New Roman"/>
      <family val="1"/>
    </font>
    <font>
      <b/>
      <sz val="20"/>
      <name val="Arial"/>
      <family val="2"/>
    </font>
    <font>
      <b/>
      <sz val="20"/>
      <color theme="1"/>
      <name val="Times New Roman"/>
      <family val="1"/>
    </font>
    <font>
      <b/>
      <sz val="20"/>
      <color rgb="FFFF0000"/>
      <name val="Times New Roman"/>
      <family val="1"/>
    </font>
    <font>
      <b/>
      <u/>
      <sz val="16"/>
      <name val="Times New Roman"/>
      <family val="1"/>
    </font>
    <font>
      <sz val="12"/>
      <name val="Times New Roman"/>
      <family val="1"/>
    </font>
    <font>
      <b/>
      <sz val="18"/>
      <name val="Arial"/>
      <family val="2"/>
    </font>
    <font>
      <b/>
      <sz val="18"/>
      <name val="Times New Roman"/>
      <family val="1"/>
    </font>
    <font>
      <sz val="18"/>
      <name val="Times New Roman"/>
      <family val="1"/>
    </font>
    <font>
      <sz val="20"/>
      <color theme="1"/>
      <name val="Calibri"/>
      <family val="2"/>
      <scheme val="minor"/>
    </font>
    <font>
      <b/>
      <i/>
      <sz val="12"/>
      <name val="Times New Roman"/>
      <family val="1"/>
    </font>
    <font>
      <b/>
      <i/>
      <sz val="24"/>
      <name val="Times New Roman"/>
      <family val="1"/>
    </font>
    <font>
      <sz val="10"/>
      <name val="Arial"/>
      <family val="2"/>
      <charset val="1"/>
    </font>
    <font>
      <sz val="14"/>
      <name val="Times New Roman"/>
      <family val="1"/>
    </font>
    <font>
      <sz val="48"/>
      <name val="Times New Roman"/>
      <family val="1"/>
    </font>
    <font>
      <sz val="70"/>
      <name val="Times New Roman"/>
      <family val="1"/>
    </font>
    <font>
      <sz val="60"/>
      <name val="Arial"/>
      <family val="2"/>
    </font>
    <font>
      <sz val="60"/>
      <name val="Times New Roman"/>
      <family val="1"/>
    </font>
    <font>
      <sz val="50"/>
      <name val="Times New Roman"/>
      <family val="1"/>
    </font>
    <font>
      <b/>
      <sz val="50"/>
      <name val="Times New Roman"/>
      <family val="1"/>
    </font>
    <font>
      <sz val="80"/>
      <name val="Arial"/>
      <family val="2"/>
    </font>
    <font>
      <sz val="80"/>
      <name val="Times New Roman"/>
      <family val="1"/>
    </font>
    <font>
      <b/>
      <u/>
      <sz val="50"/>
      <name val="Times New Roman"/>
      <family val="1"/>
    </font>
    <font>
      <b/>
      <sz val="70"/>
      <name val="Times New Roman"/>
      <family val="1"/>
    </font>
    <font>
      <b/>
      <sz val="60"/>
      <name val="Times New Roman"/>
      <family val="1"/>
    </font>
    <font>
      <sz val="40"/>
      <name val="Times New Roman"/>
      <family val="1"/>
    </font>
    <font>
      <b/>
      <sz val="80"/>
      <name val="Times New Roman"/>
      <family val="1"/>
    </font>
    <font>
      <b/>
      <u/>
      <sz val="70"/>
      <name val="Times New Roman"/>
      <family val="1"/>
    </font>
    <font>
      <b/>
      <sz val="40"/>
      <name val="Times New Roman"/>
      <family val="1"/>
    </font>
    <font>
      <b/>
      <sz val="48"/>
      <name val="Times New Roman"/>
      <family val="1"/>
    </font>
    <font>
      <b/>
      <u/>
      <sz val="40"/>
      <name val="Times New Roman"/>
      <family val="1"/>
    </font>
    <font>
      <b/>
      <i/>
      <sz val="40"/>
      <name val="Times New Roman"/>
      <family val="1"/>
    </font>
    <font>
      <sz val="40"/>
      <name val="Arial"/>
      <family val="2"/>
    </font>
    <font>
      <sz val="35"/>
      <name val="Times New Roman"/>
      <family val="1"/>
    </font>
    <font>
      <b/>
      <sz val="35"/>
      <name val="Times New Roman"/>
      <family val="1"/>
    </font>
    <font>
      <b/>
      <u/>
      <sz val="35"/>
      <name val="Times New Roman"/>
      <family val="1"/>
    </font>
    <font>
      <sz val="72"/>
      <name val="Times New Roman"/>
      <family val="1"/>
    </font>
    <font>
      <b/>
      <i/>
      <u/>
      <sz val="35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10" fillId="0" borderId="0"/>
    <xf numFmtId="167" fontId="2" fillId="0" borderId="0" applyFont="0" applyFill="0" applyBorder="0" applyAlignment="0" applyProtection="0"/>
    <xf numFmtId="0" fontId="29" fillId="0" borderId="0"/>
    <xf numFmtId="0" fontId="10" fillId="0" borderId="0"/>
    <xf numFmtId="0" fontId="10" fillId="0" borderId="0"/>
    <xf numFmtId="0" fontId="1" fillId="0" borderId="0"/>
    <xf numFmtId="0" fontId="2" fillId="0" borderId="0"/>
    <xf numFmtId="9" fontId="10" fillId="0" borderId="0" applyFont="0" applyFill="0" applyBorder="0" applyAlignment="0" applyProtection="0"/>
  </cellStyleXfs>
  <cellXfs count="875">
    <xf numFmtId="0" fontId="0" fillId="0" borderId="0" xfId="0"/>
    <xf numFmtId="0" fontId="3" fillId="2" borderId="0" xfId="1" applyFont="1" applyFill="1"/>
    <xf numFmtId="17" fontId="3" fillId="2" borderId="0" xfId="1" applyNumberFormat="1" applyFont="1" applyFill="1"/>
    <xf numFmtId="0" fontId="3" fillId="2" borderId="0" xfId="1" applyFont="1" applyFill="1" applyBorder="1"/>
    <xf numFmtId="0" fontId="4" fillId="2" borderId="0" xfId="1" applyFont="1" applyFill="1"/>
    <xf numFmtId="0" fontId="4" fillId="2" borderId="0" xfId="1" applyFont="1" applyFill="1" applyBorder="1" applyAlignment="1">
      <alignment horizontal="left"/>
    </xf>
    <xf numFmtId="0" fontId="5" fillId="2" borderId="0" xfId="1" applyFont="1" applyFill="1"/>
    <xf numFmtId="2" fontId="3" fillId="2" borderId="0" xfId="1" applyNumberFormat="1" applyFont="1" applyFill="1"/>
    <xf numFmtId="0" fontId="6" fillId="2" borderId="0" xfId="1" applyFont="1" applyFill="1"/>
    <xf numFmtId="0" fontId="7" fillId="2" borderId="0" xfId="1" applyFont="1" applyFill="1"/>
    <xf numFmtId="0" fontId="6" fillId="2" borderId="1" xfId="1" applyFont="1" applyFill="1" applyBorder="1"/>
    <xf numFmtId="0" fontId="7" fillId="2" borderId="2" xfId="1" applyFont="1" applyFill="1" applyBorder="1"/>
    <xf numFmtId="0" fontId="7" fillId="2" borderId="0" xfId="1" applyFont="1" applyFill="1" applyBorder="1" applyAlignment="1"/>
    <xf numFmtId="164" fontId="8" fillId="0" borderId="6" xfId="1" applyNumberFormat="1" applyFont="1" applyFill="1" applyBorder="1" applyAlignment="1">
      <alignment horizontal="left"/>
    </xf>
    <xf numFmtId="164" fontId="8" fillId="0" borderId="7" xfId="1" quotePrefix="1" applyNumberFormat="1" applyFont="1" applyFill="1" applyBorder="1" applyAlignment="1">
      <alignment horizontal="left"/>
    </xf>
    <xf numFmtId="165" fontId="5" fillId="2" borderId="2" xfId="1" quotePrefix="1" applyNumberFormat="1" applyFont="1" applyFill="1" applyBorder="1" applyAlignment="1">
      <alignment horizontal="center"/>
    </xf>
    <xf numFmtId="165" fontId="5" fillId="2" borderId="8" xfId="1" applyNumberFormat="1" applyFont="1" applyFill="1" applyBorder="1" applyAlignment="1">
      <alignment horizontal="center"/>
    </xf>
    <xf numFmtId="165" fontId="5" fillId="2" borderId="1" xfId="1" applyNumberFormat="1" applyFont="1" applyFill="1" applyBorder="1" applyAlignment="1">
      <alignment horizontal="center"/>
    </xf>
    <xf numFmtId="165" fontId="9" fillId="2" borderId="8" xfId="1" applyNumberFormat="1" applyFont="1" applyFill="1" applyBorder="1" applyAlignment="1">
      <alignment horizontal="center"/>
    </xf>
    <xf numFmtId="165" fontId="9" fillId="2" borderId="9" xfId="1" quotePrefix="1" applyNumberFormat="1" applyFont="1" applyFill="1" applyBorder="1" applyAlignment="1">
      <alignment horizontal="center"/>
    </xf>
    <xf numFmtId="165" fontId="9" fillId="2" borderId="9" xfId="1" applyNumberFormat="1" applyFont="1" applyFill="1" applyBorder="1" applyAlignment="1">
      <alignment horizontal="center"/>
    </xf>
    <xf numFmtId="165" fontId="9" fillId="2" borderId="10" xfId="1" applyNumberFormat="1" applyFont="1" applyFill="1" applyBorder="1" applyAlignment="1">
      <alignment horizontal="center"/>
    </xf>
    <xf numFmtId="165" fontId="9" fillId="2" borderId="11" xfId="1" applyNumberFormat="1" applyFont="1" applyFill="1" applyBorder="1" applyAlignment="1">
      <alignment horizontal="center"/>
    </xf>
    <xf numFmtId="165" fontId="9" fillId="2" borderId="11" xfId="1" quotePrefix="1" applyNumberFormat="1" applyFont="1" applyFill="1" applyBorder="1" applyAlignment="1">
      <alignment horizontal="center"/>
    </xf>
    <xf numFmtId="165" fontId="9" fillId="2" borderId="12" xfId="1" applyNumberFormat="1" applyFont="1" applyFill="1" applyBorder="1" applyAlignment="1">
      <alignment horizontal="center"/>
    </xf>
    <xf numFmtId="165" fontId="9" fillId="2" borderId="13" xfId="1" applyNumberFormat="1" applyFont="1" applyFill="1" applyBorder="1" applyAlignment="1">
      <alignment horizontal="center"/>
    </xf>
    <xf numFmtId="165" fontId="9" fillId="2" borderId="10" xfId="1" quotePrefix="1" applyNumberFormat="1" applyFont="1" applyFill="1" applyBorder="1" applyAlignment="1">
      <alignment horizontal="center"/>
    </xf>
    <xf numFmtId="165" fontId="9" fillId="2" borderId="14" xfId="1" quotePrefix="1" applyNumberFormat="1" applyFont="1" applyFill="1" applyBorder="1" applyAlignment="1">
      <alignment horizontal="center"/>
    </xf>
    <xf numFmtId="165" fontId="9" fillId="2" borderId="15" xfId="1" quotePrefix="1" applyNumberFormat="1" applyFont="1" applyFill="1" applyBorder="1" applyAlignment="1">
      <alignment horizontal="center"/>
    </xf>
    <xf numFmtId="165" fontId="9" fillId="2" borderId="16" xfId="1" quotePrefix="1" applyNumberFormat="1" applyFont="1" applyFill="1" applyBorder="1" applyAlignment="1">
      <alignment horizontal="center"/>
    </xf>
    <xf numFmtId="165" fontId="9" fillId="2" borderId="17" xfId="1" quotePrefix="1" applyNumberFormat="1" applyFont="1" applyFill="1" applyBorder="1" applyAlignment="1">
      <alignment horizontal="center"/>
    </xf>
    <xf numFmtId="165" fontId="9" fillId="2" borderId="14" xfId="1" applyNumberFormat="1" applyFont="1" applyFill="1" applyBorder="1" applyAlignment="1">
      <alignment horizontal="center"/>
    </xf>
    <xf numFmtId="165" fontId="9" fillId="2" borderId="13" xfId="1" quotePrefix="1" applyNumberFormat="1" applyFont="1" applyFill="1" applyBorder="1" applyAlignment="1">
      <alignment horizontal="center"/>
    </xf>
    <xf numFmtId="165" fontId="9" fillId="2" borderId="18" xfId="1" quotePrefix="1" applyNumberFormat="1" applyFont="1" applyFill="1" applyBorder="1" applyAlignment="1">
      <alignment horizontal="center"/>
    </xf>
    <xf numFmtId="165" fontId="9" fillId="2" borderId="18" xfId="1" applyNumberFormat="1" applyFont="1" applyFill="1" applyBorder="1" applyAlignment="1">
      <alignment horizontal="center"/>
    </xf>
    <xf numFmtId="165" fontId="9" fillId="2" borderId="16" xfId="1" applyNumberFormat="1" applyFont="1" applyFill="1" applyBorder="1" applyAlignment="1">
      <alignment horizontal="center"/>
    </xf>
    <xf numFmtId="164" fontId="8" fillId="2" borderId="19" xfId="1" applyNumberFormat="1" applyFont="1" applyFill="1" applyBorder="1" applyAlignment="1">
      <alignment horizontal="left"/>
    </xf>
    <xf numFmtId="164" fontId="8" fillId="2" borderId="20" xfId="1" quotePrefix="1" applyNumberFormat="1" applyFont="1" applyFill="1" applyBorder="1" applyAlignment="1">
      <alignment horizontal="left"/>
    </xf>
    <xf numFmtId="4" fontId="5" fillId="2" borderId="21" xfId="1" applyNumberFormat="1" applyFont="1" applyFill="1" applyBorder="1" applyAlignment="1">
      <alignment horizontal="center"/>
    </xf>
    <xf numFmtId="4" fontId="5" fillId="2" borderId="22" xfId="1" applyNumberFormat="1" applyFont="1" applyFill="1" applyBorder="1" applyAlignment="1">
      <alignment horizontal="center"/>
    </xf>
    <xf numFmtId="4" fontId="9" fillId="2" borderId="22" xfId="1" applyNumberFormat="1" applyFont="1" applyFill="1" applyBorder="1" applyAlignment="1">
      <alignment horizontal="center"/>
    </xf>
    <xf numFmtId="4" fontId="9" fillId="2" borderId="23" xfId="1" applyNumberFormat="1" applyFont="1" applyFill="1" applyBorder="1" applyAlignment="1">
      <alignment horizontal="center"/>
    </xf>
    <xf numFmtId="166" fontId="11" fillId="0" borderId="24" xfId="2" applyNumberFormat="1" applyFont="1" applyFill="1" applyBorder="1" applyAlignment="1">
      <alignment horizontal="right"/>
    </xf>
    <xf numFmtId="166" fontId="11" fillId="0" borderId="25" xfId="2" applyNumberFormat="1" applyFont="1" applyFill="1" applyBorder="1" applyAlignment="1">
      <alignment horizontal="right"/>
    </xf>
    <xf numFmtId="166" fontId="11" fillId="0" borderId="26" xfId="2" applyNumberFormat="1" applyFont="1" applyFill="1" applyBorder="1" applyAlignment="1">
      <alignment horizontal="right"/>
    </xf>
    <xf numFmtId="166" fontId="12" fillId="0" borderId="24" xfId="2" applyNumberFormat="1" applyFont="1" applyFill="1" applyBorder="1" applyAlignment="1">
      <alignment horizontal="right"/>
    </xf>
    <xf numFmtId="164" fontId="13" fillId="0" borderId="27" xfId="2" applyNumberFormat="1" applyFont="1" applyFill="1" applyBorder="1" applyAlignment="1">
      <alignment horizontal="right"/>
    </xf>
    <xf numFmtId="164" fontId="13" fillId="0" borderId="28" xfId="2" applyNumberFormat="1" applyFont="1" applyFill="1" applyBorder="1" applyAlignment="1">
      <alignment horizontal="right"/>
    </xf>
    <xf numFmtId="164" fontId="13" fillId="0" borderId="29" xfId="2" applyNumberFormat="1" applyFont="1" applyFill="1" applyBorder="1" applyAlignment="1">
      <alignment horizontal="right"/>
    </xf>
    <xf numFmtId="164" fontId="13" fillId="0" borderId="30" xfId="2" applyNumberFormat="1" applyFont="1" applyFill="1" applyBorder="1" applyAlignment="1">
      <alignment horizontal="right"/>
    </xf>
    <xf numFmtId="164" fontId="13" fillId="0" borderId="31" xfId="2" applyNumberFormat="1" applyFont="1" applyFill="1" applyBorder="1" applyAlignment="1">
      <alignment horizontal="right"/>
    </xf>
    <xf numFmtId="164" fontId="13" fillId="0" borderId="25" xfId="2" applyNumberFormat="1" applyFont="1" applyFill="1" applyBorder="1" applyAlignment="1">
      <alignment horizontal="right"/>
    </xf>
    <xf numFmtId="164" fontId="13" fillId="0" borderId="32" xfId="2" applyNumberFormat="1" applyFont="1" applyFill="1" applyBorder="1" applyAlignment="1">
      <alignment horizontal="right"/>
    </xf>
    <xf numFmtId="164" fontId="13" fillId="0" borderId="24" xfId="2" applyNumberFormat="1" applyFont="1" applyFill="1" applyBorder="1" applyAlignment="1">
      <alignment horizontal="right"/>
    </xf>
    <xf numFmtId="164" fontId="13" fillId="0" borderId="26" xfId="2" applyNumberFormat="1" applyFont="1" applyFill="1" applyBorder="1" applyAlignment="1">
      <alignment horizontal="right"/>
    </xf>
    <xf numFmtId="164" fontId="14" fillId="0" borderId="26" xfId="2" applyNumberFormat="1" applyFont="1" applyFill="1" applyBorder="1" applyAlignment="1">
      <alignment horizontal="right"/>
    </xf>
    <xf numFmtId="164" fontId="15" fillId="0" borderId="26" xfId="2" applyNumberFormat="1" applyFont="1" applyFill="1" applyBorder="1" applyAlignment="1">
      <alignment horizontal="right"/>
    </xf>
    <xf numFmtId="164" fontId="8" fillId="2" borderId="30" xfId="1" applyNumberFormat="1" applyFont="1" applyFill="1" applyBorder="1" applyAlignment="1">
      <alignment horizontal="left"/>
    </xf>
    <xf numFmtId="164" fontId="8" fillId="2" borderId="29" xfId="1" quotePrefix="1" applyNumberFormat="1" applyFont="1" applyFill="1" applyBorder="1" applyAlignment="1">
      <alignment horizontal="left"/>
    </xf>
    <xf numFmtId="166" fontId="9" fillId="0" borderId="24" xfId="2" applyNumberFormat="1" applyFont="1" applyFill="1" applyBorder="1" applyAlignment="1">
      <alignment horizontal="right"/>
    </xf>
    <xf numFmtId="166" fontId="9" fillId="0" borderId="25" xfId="2" applyNumberFormat="1" applyFont="1" applyFill="1" applyBorder="1" applyAlignment="1">
      <alignment horizontal="right"/>
    </xf>
    <xf numFmtId="166" fontId="16" fillId="0" borderId="24" xfId="2" applyNumberFormat="1" applyFont="1" applyFill="1" applyBorder="1" applyAlignment="1">
      <alignment horizontal="right"/>
    </xf>
    <xf numFmtId="164" fontId="14" fillId="0" borderId="27" xfId="2" applyNumberFormat="1" applyFont="1" applyFill="1" applyBorder="1" applyAlignment="1">
      <alignment horizontal="right"/>
    </xf>
    <xf numFmtId="164" fontId="14" fillId="0" borderId="28" xfId="2" applyNumberFormat="1" applyFont="1" applyFill="1" applyBorder="1" applyAlignment="1">
      <alignment horizontal="right"/>
    </xf>
    <xf numFmtId="164" fontId="14" fillId="0" borderId="29" xfId="2" applyNumberFormat="1" applyFont="1" applyFill="1" applyBorder="1" applyAlignment="1">
      <alignment horizontal="right"/>
    </xf>
    <xf numFmtId="164" fontId="14" fillId="0" borderId="30" xfId="2" applyNumberFormat="1" applyFont="1" applyFill="1" applyBorder="1" applyAlignment="1">
      <alignment horizontal="right"/>
    </xf>
    <xf numFmtId="164" fontId="14" fillId="0" borderId="33" xfId="2" applyNumberFormat="1" applyFont="1" applyFill="1" applyBorder="1" applyAlignment="1">
      <alignment horizontal="right"/>
    </xf>
    <xf numFmtId="164" fontId="14" fillId="0" borderId="25" xfId="2" applyNumberFormat="1" applyFont="1" applyFill="1" applyBorder="1" applyAlignment="1">
      <alignment horizontal="right"/>
    </xf>
    <xf numFmtId="164" fontId="14" fillId="0" borderId="32" xfId="2" applyNumberFormat="1" applyFont="1" applyFill="1" applyBorder="1" applyAlignment="1">
      <alignment horizontal="right"/>
    </xf>
    <xf numFmtId="164" fontId="14" fillId="0" borderId="24" xfId="2" applyNumberFormat="1" applyFont="1" applyFill="1" applyBorder="1" applyAlignment="1">
      <alignment horizontal="right"/>
    </xf>
    <xf numFmtId="164" fontId="15" fillId="0" borderId="24" xfId="2" applyNumberFormat="1" applyFont="1" applyFill="1" applyBorder="1" applyAlignment="1">
      <alignment horizontal="right"/>
    </xf>
    <xf numFmtId="164" fontId="8" fillId="2" borderId="34" xfId="1" applyNumberFormat="1" applyFont="1" applyFill="1" applyBorder="1" applyAlignment="1">
      <alignment horizontal="left"/>
    </xf>
    <xf numFmtId="164" fontId="8" fillId="2" borderId="35" xfId="1" quotePrefix="1" applyNumberFormat="1" applyFont="1" applyFill="1" applyBorder="1" applyAlignment="1">
      <alignment horizontal="left"/>
    </xf>
    <xf numFmtId="164" fontId="13" fillId="0" borderId="33" xfId="2" applyNumberFormat="1" applyFont="1" applyFill="1" applyBorder="1" applyAlignment="1">
      <alignment horizontal="right"/>
    </xf>
    <xf numFmtId="4" fontId="5" fillId="2" borderId="36" xfId="1" applyNumberFormat="1" applyFont="1" applyFill="1" applyBorder="1" applyAlignment="1">
      <alignment horizontal="center"/>
    </xf>
    <xf numFmtId="4" fontId="9" fillId="2" borderId="36" xfId="1" applyNumberFormat="1" applyFont="1" applyFill="1" applyBorder="1" applyAlignment="1">
      <alignment horizontal="center"/>
    </xf>
    <xf numFmtId="4" fontId="9" fillId="2" borderId="37" xfId="1" applyNumberFormat="1" applyFont="1" applyFill="1" applyBorder="1" applyAlignment="1">
      <alignment horizontal="center"/>
    </xf>
    <xf numFmtId="166" fontId="16" fillId="2" borderId="36" xfId="1" applyNumberFormat="1" applyFont="1" applyFill="1" applyBorder="1" applyAlignment="1">
      <alignment horizontal="right"/>
    </xf>
    <xf numFmtId="164" fontId="8" fillId="2" borderId="17" xfId="1" applyNumberFormat="1" applyFont="1" applyFill="1" applyBorder="1" applyAlignment="1">
      <alignment horizontal="left"/>
    </xf>
    <xf numFmtId="164" fontId="8" fillId="2" borderId="18" xfId="1" quotePrefix="1" applyNumberFormat="1" applyFont="1" applyFill="1" applyBorder="1" applyAlignment="1">
      <alignment horizontal="left"/>
    </xf>
    <xf numFmtId="4" fontId="5" fillId="2" borderId="29" xfId="1" applyNumberFormat="1" applyFont="1" applyFill="1" applyBorder="1" applyAlignment="1">
      <alignment horizontal="center"/>
    </xf>
    <xf numFmtId="4" fontId="5" fillId="2" borderId="24" xfId="1" applyNumberFormat="1" applyFont="1" applyFill="1" applyBorder="1" applyAlignment="1">
      <alignment horizontal="center"/>
    </xf>
    <xf numFmtId="4" fontId="9" fillId="2" borderId="24" xfId="1" applyNumberFormat="1" applyFont="1" applyFill="1" applyBorder="1" applyAlignment="1">
      <alignment horizontal="center"/>
    </xf>
    <xf numFmtId="4" fontId="9" fillId="2" borderId="30" xfId="1" applyNumberFormat="1" applyFont="1" applyFill="1" applyBorder="1" applyAlignment="1">
      <alignment horizontal="center"/>
    </xf>
    <xf numFmtId="164" fontId="8" fillId="2" borderId="1" xfId="1" applyNumberFormat="1" applyFont="1" applyFill="1" applyBorder="1" applyAlignment="1">
      <alignment horizontal="left"/>
    </xf>
    <xf numFmtId="164" fontId="8" fillId="2" borderId="2" xfId="1" quotePrefix="1" applyNumberFormat="1" applyFont="1" applyFill="1" applyBorder="1" applyAlignment="1">
      <alignment horizontal="left"/>
    </xf>
    <xf numFmtId="4" fontId="5" fillId="2" borderId="23" xfId="1" applyNumberFormat="1" applyFont="1" applyFill="1" applyBorder="1" applyAlignment="1">
      <alignment horizontal="center"/>
    </xf>
    <xf numFmtId="4" fontId="9" fillId="2" borderId="38" xfId="1" applyNumberFormat="1" applyFont="1" applyFill="1" applyBorder="1" applyAlignment="1">
      <alignment horizontal="center"/>
    </xf>
    <xf numFmtId="4" fontId="16" fillId="2" borderId="22" xfId="1" applyNumberFormat="1" applyFont="1" applyFill="1" applyBorder="1" applyAlignment="1">
      <alignment horizontal="center"/>
    </xf>
    <xf numFmtId="164" fontId="16" fillId="2" borderId="23" xfId="1" applyNumberFormat="1" applyFont="1" applyFill="1" applyBorder="1" applyAlignment="1">
      <alignment horizontal="center"/>
    </xf>
    <xf numFmtId="164" fontId="16" fillId="2" borderId="39" xfId="1" applyNumberFormat="1" applyFont="1" applyFill="1" applyBorder="1" applyAlignment="1">
      <alignment horizontal="center"/>
    </xf>
    <xf numFmtId="164" fontId="16" fillId="2" borderId="21" xfId="1" applyNumberFormat="1" applyFont="1" applyFill="1" applyBorder="1" applyAlignment="1">
      <alignment horizontal="center"/>
    </xf>
    <xf numFmtId="164" fontId="16" fillId="2" borderId="40" xfId="1" applyNumberFormat="1" applyFont="1" applyFill="1" applyBorder="1" applyAlignment="1">
      <alignment horizontal="center"/>
    </xf>
    <xf numFmtId="164" fontId="16" fillId="2" borderId="38" xfId="1" applyNumberFormat="1" applyFont="1" applyFill="1" applyBorder="1" applyAlignment="1">
      <alignment horizontal="center"/>
    </xf>
    <xf numFmtId="164" fontId="16" fillId="2" borderId="41" xfId="1" applyNumberFormat="1" applyFont="1" applyFill="1" applyBorder="1" applyAlignment="1">
      <alignment horizontal="center"/>
    </xf>
    <xf numFmtId="164" fontId="16" fillId="2" borderId="22" xfId="1" applyNumberFormat="1" applyFont="1" applyFill="1" applyBorder="1" applyAlignment="1">
      <alignment horizontal="center"/>
    </xf>
    <xf numFmtId="164" fontId="17" fillId="2" borderId="22" xfId="1" applyNumberFormat="1" applyFont="1" applyFill="1" applyBorder="1" applyAlignment="1">
      <alignment horizontal="center"/>
    </xf>
    <xf numFmtId="164" fontId="8" fillId="0" borderId="42" xfId="1" applyNumberFormat="1" applyFont="1" applyFill="1" applyBorder="1"/>
    <xf numFmtId="164" fontId="8" fillId="0" borderId="43" xfId="1" applyNumberFormat="1" applyFont="1" applyFill="1" applyBorder="1"/>
    <xf numFmtId="0" fontId="5" fillId="0" borderId="8" xfId="1" applyFont="1" applyFill="1" applyBorder="1"/>
    <xf numFmtId="0" fontId="5" fillId="0" borderId="1" xfId="1" applyFont="1" applyFill="1" applyBorder="1"/>
    <xf numFmtId="0" fontId="9" fillId="0" borderId="8" xfId="1" applyFont="1" applyFill="1" applyBorder="1"/>
    <xf numFmtId="0" fontId="9" fillId="0" borderId="1" xfId="1" applyFont="1" applyFill="1" applyBorder="1"/>
    <xf numFmtId="0" fontId="9" fillId="0" borderId="3" xfId="1" applyFont="1" applyFill="1" applyBorder="1"/>
    <xf numFmtId="0" fontId="16" fillId="0" borderId="8" xfId="1" applyFont="1" applyFill="1" applyBorder="1"/>
    <xf numFmtId="164" fontId="16" fillId="0" borderId="1" xfId="1" applyNumberFormat="1" applyFont="1" applyFill="1" applyBorder="1"/>
    <xf numFmtId="164" fontId="16" fillId="0" borderId="12" xfId="1" applyNumberFormat="1" applyFont="1" applyFill="1" applyBorder="1"/>
    <xf numFmtId="164" fontId="16" fillId="0" borderId="2" xfId="1" applyNumberFormat="1" applyFont="1" applyFill="1" applyBorder="1"/>
    <xf numFmtId="164" fontId="16" fillId="0" borderId="44" xfId="1" applyNumberFormat="1" applyFont="1" applyFill="1" applyBorder="1"/>
    <xf numFmtId="164" fontId="16" fillId="0" borderId="3" xfId="1" applyNumberFormat="1" applyFont="1" applyFill="1" applyBorder="1"/>
    <xf numFmtId="164" fontId="16" fillId="0" borderId="42" xfId="1" applyNumberFormat="1" applyFont="1" applyFill="1" applyBorder="1"/>
    <xf numFmtId="164" fontId="16" fillId="0" borderId="8" xfId="1" applyNumberFormat="1" applyFont="1" applyFill="1" applyBorder="1"/>
    <xf numFmtId="164" fontId="17" fillId="0" borderId="8" xfId="1" applyNumberFormat="1" applyFont="1" applyFill="1" applyBorder="1"/>
    <xf numFmtId="164" fontId="8" fillId="2" borderId="4" xfId="1" applyNumberFormat="1" applyFont="1" applyFill="1" applyBorder="1"/>
    <xf numFmtId="164" fontId="8" fillId="2" borderId="45" xfId="1" applyNumberFormat="1" applyFont="1" applyFill="1" applyBorder="1"/>
    <xf numFmtId="4" fontId="5" fillId="2" borderId="46" xfId="1" applyNumberFormat="1" applyFont="1" applyFill="1" applyBorder="1" applyAlignment="1">
      <alignment horizontal="center"/>
    </xf>
    <xf numFmtId="4" fontId="9" fillId="2" borderId="46" xfId="1" applyNumberFormat="1" applyFont="1" applyFill="1" applyBorder="1" applyAlignment="1">
      <alignment horizontal="center"/>
    </xf>
    <xf numFmtId="4" fontId="9" fillId="2" borderId="34" xfId="1" applyNumberFormat="1" applyFont="1" applyFill="1" applyBorder="1" applyAlignment="1">
      <alignment horizontal="center"/>
    </xf>
    <xf numFmtId="2" fontId="9" fillId="0" borderId="24" xfId="2" applyNumberFormat="1" applyFont="1" applyFill="1" applyBorder="1" applyAlignment="1">
      <alignment horizontal="right"/>
    </xf>
    <xf numFmtId="2" fontId="9" fillId="0" borderId="25" xfId="2" applyNumberFormat="1" applyFont="1" applyFill="1" applyBorder="1" applyAlignment="1">
      <alignment horizontal="right"/>
    </xf>
    <xf numFmtId="2" fontId="16" fillId="0" borderId="24" xfId="2" applyNumberFormat="1" applyFont="1" applyFill="1" applyBorder="1" applyAlignment="1">
      <alignment horizontal="right"/>
    </xf>
    <xf numFmtId="164" fontId="14" fillId="0" borderId="47" xfId="2" applyNumberFormat="1" applyFont="1" applyBorder="1" applyAlignment="1">
      <alignment horizontal="right"/>
    </xf>
    <xf numFmtId="164" fontId="14" fillId="0" borderId="48" xfId="2" applyNumberFormat="1" applyFont="1" applyBorder="1" applyAlignment="1">
      <alignment horizontal="right"/>
    </xf>
    <xf numFmtId="164" fontId="14" fillId="0" borderId="49" xfId="2" applyNumberFormat="1" applyFont="1" applyBorder="1" applyAlignment="1">
      <alignment horizontal="right"/>
    </xf>
    <xf numFmtId="164" fontId="14" fillId="0" borderId="50" xfId="2" applyNumberFormat="1" applyFont="1" applyBorder="1" applyAlignment="1">
      <alignment horizontal="right"/>
    </xf>
    <xf numFmtId="164" fontId="14" fillId="0" borderId="51" xfId="2" applyNumberFormat="1" applyFont="1" applyBorder="1" applyAlignment="1">
      <alignment horizontal="right"/>
    </xf>
    <xf numFmtId="164" fontId="14" fillId="0" borderId="52" xfId="2" applyNumberFormat="1" applyFont="1" applyBorder="1" applyAlignment="1">
      <alignment horizontal="right"/>
    </xf>
    <xf numFmtId="164" fontId="14" fillId="0" borderId="19" xfId="2" applyNumberFormat="1" applyFont="1" applyBorder="1" applyAlignment="1">
      <alignment horizontal="right"/>
    </xf>
    <xf numFmtId="164" fontId="14" fillId="0" borderId="53" xfId="2" applyNumberFormat="1" applyFont="1" applyBorder="1" applyAlignment="1">
      <alignment horizontal="right"/>
    </xf>
    <xf numFmtId="164" fontId="14" fillId="0" borderId="7" xfId="2" applyNumberFormat="1" applyFont="1" applyBorder="1" applyAlignment="1">
      <alignment horizontal="right"/>
    </xf>
    <xf numFmtId="164" fontId="14" fillId="0" borderId="54" xfId="2" applyNumberFormat="1" applyFont="1" applyBorder="1" applyAlignment="1">
      <alignment horizontal="right"/>
    </xf>
    <xf numFmtId="164" fontId="8" fillId="2" borderId="55" xfId="1" applyNumberFormat="1" applyFont="1" applyFill="1" applyBorder="1" applyAlignment="1">
      <alignment horizontal="left"/>
    </xf>
    <xf numFmtId="164" fontId="8" fillId="2" borderId="56" xfId="1" quotePrefix="1" applyNumberFormat="1" applyFont="1" applyFill="1" applyBorder="1" applyAlignment="1">
      <alignment horizontal="left"/>
    </xf>
    <xf numFmtId="164" fontId="8" fillId="2" borderId="41" xfId="1" applyNumberFormat="1" applyFont="1" applyFill="1" applyBorder="1" applyAlignment="1">
      <alignment horizontal="left"/>
    </xf>
    <xf numFmtId="164" fontId="8" fillId="2" borderId="57" xfId="1" quotePrefix="1" applyNumberFormat="1" applyFont="1" applyFill="1" applyBorder="1" applyAlignment="1">
      <alignment horizontal="left"/>
    </xf>
    <xf numFmtId="164" fontId="14" fillId="0" borderId="58" xfId="2" applyNumberFormat="1" applyFont="1" applyBorder="1" applyAlignment="1">
      <alignment horizontal="right"/>
    </xf>
    <xf numFmtId="164" fontId="14" fillId="0" borderId="59" xfId="2" applyNumberFormat="1" applyFont="1" applyBorder="1" applyAlignment="1">
      <alignment horizontal="right"/>
    </xf>
    <xf numFmtId="164" fontId="14" fillId="0" borderId="36" xfId="2" applyNumberFormat="1" applyFont="1" applyBorder="1" applyAlignment="1">
      <alignment horizontal="right"/>
    </xf>
    <xf numFmtId="164" fontId="14" fillId="0" borderId="60" xfId="2" applyNumberFormat="1" applyFont="1" applyBorder="1" applyAlignment="1">
      <alignment horizontal="right"/>
    </xf>
    <xf numFmtId="164" fontId="14" fillId="0" borderId="39" xfId="2" applyNumberFormat="1" applyFont="1" applyBorder="1" applyAlignment="1">
      <alignment horizontal="right"/>
    </xf>
    <xf numFmtId="164" fontId="14" fillId="0" borderId="40" xfId="2" applyNumberFormat="1" applyFont="1" applyBorder="1" applyAlignment="1">
      <alignment horizontal="right"/>
    </xf>
    <xf numFmtId="164" fontId="14" fillId="0" borderId="38" xfId="2" applyNumberFormat="1" applyFont="1" applyBorder="1" applyAlignment="1">
      <alignment horizontal="right"/>
    </xf>
    <xf numFmtId="164" fontId="14" fillId="0" borderId="41" xfId="2" applyNumberFormat="1" applyFont="1" applyBorder="1" applyAlignment="1">
      <alignment horizontal="right"/>
    </xf>
    <xf numFmtId="164" fontId="14" fillId="0" borderId="21" xfId="2" applyNumberFormat="1" applyFont="1" applyBorder="1" applyAlignment="1">
      <alignment horizontal="right"/>
    </xf>
    <xf numFmtId="164" fontId="14" fillId="0" borderId="22" xfId="2" applyNumberFormat="1" applyFont="1" applyBorder="1" applyAlignment="1">
      <alignment horizontal="right"/>
    </xf>
    <xf numFmtId="164" fontId="15" fillId="0" borderId="22" xfId="2" applyNumberFormat="1" applyFont="1" applyBorder="1" applyAlignment="1">
      <alignment horizontal="right"/>
    </xf>
    <xf numFmtId="164" fontId="8" fillId="0" borderId="1" xfId="1" applyNumberFormat="1" applyFont="1" applyFill="1" applyBorder="1" applyAlignment="1">
      <alignment horizontal="left"/>
    </xf>
    <xf numFmtId="164" fontId="8" fillId="0" borderId="2" xfId="1" quotePrefix="1" applyNumberFormat="1" applyFont="1" applyFill="1" applyBorder="1" applyAlignment="1">
      <alignment horizontal="left"/>
    </xf>
    <xf numFmtId="4" fontId="5" fillId="0" borderId="8" xfId="1" applyNumberFormat="1" applyFont="1" applyFill="1" applyBorder="1" applyAlignment="1">
      <alignment horizontal="center"/>
    </xf>
    <xf numFmtId="4" fontId="5" fillId="0" borderId="1" xfId="1" applyNumberFormat="1" applyFont="1" applyFill="1" applyBorder="1" applyAlignment="1">
      <alignment horizontal="center"/>
    </xf>
    <xf numFmtId="4" fontId="9" fillId="0" borderId="8" xfId="1" applyNumberFormat="1" applyFont="1" applyFill="1" applyBorder="1" applyAlignment="1">
      <alignment horizontal="center"/>
    </xf>
    <xf numFmtId="4" fontId="9" fillId="0" borderId="1" xfId="1" applyNumberFormat="1" applyFont="1" applyFill="1" applyBorder="1" applyAlignment="1">
      <alignment horizontal="center"/>
    </xf>
    <xf numFmtId="2" fontId="18" fillId="0" borderId="1" xfId="2" applyNumberFormat="1" applyFont="1" applyBorder="1" applyAlignment="1">
      <alignment horizontal="right"/>
    </xf>
    <xf numFmtId="2" fontId="18" fillId="0" borderId="12" xfId="2" applyNumberFormat="1" applyFont="1" applyBorder="1" applyAlignment="1">
      <alignment horizontal="right"/>
    </xf>
    <xf numFmtId="2" fontId="18" fillId="0" borderId="2" xfId="2" applyNumberFormat="1" applyFont="1" applyBorder="1" applyAlignment="1">
      <alignment horizontal="right"/>
    </xf>
    <xf numFmtId="4" fontId="9" fillId="2" borderId="12" xfId="1" applyNumberFormat="1" applyFont="1" applyFill="1" applyBorder="1"/>
    <xf numFmtId="4" fontId="9" fillId="2" borderId="44" xfId="1" applyNumberFormat="1" applyFont="1" applyFill="1" applyBorder="1"/>
    <xf numFmtId="4" fontId="9" fillId="2" borderId="3" xfId="1" applyNumberFormat="1" applyFont="1" applyFill="1" applyBorder="1"/>
    <xf numFmtId="4" fontId="9" fillId="2" borderId="42" xfId="1" applyNumberFormat="1" applyFont="1" applyFill="1" applyBorder="1"/>
    <xf numFmtId="4" fontId="9" fillId="2" borderId="2" xfId="1" applyNumberFormat="1" applyFont="1" applyFill="1" applyBorder="1"/>
    <xf numFmtId="4" fontId="9" fillId="2" borderId="8" xfId="1" applyNumberFormat="1" applyFont="1" applyFill="1" applyBorder="1"/>
    <xf numFmtId="4" fontId="19" fillId="2" borderId="8" xfId="1" applyNumberFormat="1" applyFont="1" applyFill="1" applyBorder="1"/>
    <xf numFmtId="164" fontId="8" fillId="0" borderId="4" xfId="1" applyNumberFormat="1" applyFont="1" applyFill="1" applyBorder="1" applyAlignment="1">
      <alignment horizontal="left"/>
    </xf>
    <xf numFmtId="164" fontId="8" fillId="0" borderId="45" xfId="1" quotePrefix="1" applyNumberFormat="1" applyFont="1" applyFill="1" applyBorder="1" applyAlignment="1">
      <alignment horizontal="left"/>
    </xf>
    <xf numFmtId="4" fontId="5" fillId="0" borderId="54" xfId="1" applyNumberFormat="1" applyFont="1" applyFill="1" applyBorder="1"/>
    <xf numFmtId="4" fontId="5" fillId="0" borderId="6" xfId="1" applyNumberFormat="1" applyFont="1" applyFill="1" applyBorder="1"/>
    <xf numFmtId="4" fontId="9" fillId="0" borderId="54" xfId="1" applyNumberFormat="1" applyFont="1" applyFill="1" applyBorder="1"/>
    <xf numFmtId="4" fontId="9" fillId="0" borderId="6" xfId="1" applyNumberFormat="1" applyFont="1" applyFill="1" applyBorder="1"/>
    <xf numFmtId="4" fontId="9" fillId="0" borderId="52" xfId="1" applyNumberFormat="1" applyFont="1" applyFill="1" applyBorder="1"/>
    <xf numFmtId="4" fontId="9" fillId="0" borderId="53" xfId="1" applyNumberFormat="1" applyFont="1" applyFill="1" applyBorder="1"/>
    <xf numFmtId="4" fontId="9" fillId="0" borderId="7" xfId="1" applyNumberFormat="1" applyFont="1" applyFill="1" applyBorder="1"/>
    <xf numFmtId="4" fontId="9" fillId="0" borderId="61" xfId="1" applyNumberFormat="1" applyFont="1" applyFill="1" applyBorder="1"/>
    <xf numFmtId="4" fontId="9" fillId="0" borderId="19" xfId="1" applyNumberFormat="1" applyFont="1" applyFill="1" applyBorder="1"/>
    <xf numFmtId="4" fontId="20" fillId="0" borderId="54" xfId="1" applyNumberFormat="1" applyFont="1" applyFill="1" applyBorder="1"/>
    <xf numFmtId="164" fontId="8" fillId="2" borderId="10" xfId="1" applyNumberFormat="1" applyFont="1" applyFill="1" applyBorder="1" applyAlignment="1">
      <alignment horizontal="left"/>
    </xf>
    <xf numFmtId="164" fontId="8" fillId="0" borderId="13" xfId="1" applyNumberFormat="1" applyFont="1" applyFill="1" applyBorder="1" applyAlignment="1">
      <alignment horizontal="left"/>
    </xf>
    <xf numFmtId="4" fontId="5" fillId="0" borderId="22" xfId="1" applyNumberFormat="1" applyFont="1" applyFill="1" applyBorder="1"/>
    <xf numFmtId="4" fontId="5" fillId="0" borderId="23" xfId="1" applyNumberFormat="1" applyFont="1" applyFill="1" applyBorder="1"/>
    <xf numFmtId="4" fontId="9" fillId="0" borderId="22" xfId="1" applyNumberFormat="1" applyFont="1" applyFill="1" applyBorder="1"/>
    <xf numFmtId="4" fontId="9" fillId="0" borderId="23" xfId="1" applyNumberFormat="1" applyFont="1" applyFill="1" applyBorder="1"/>
    <xf numFmtId="4" fontId="9" fillId="0" borderId="38" xfId="1" applyNumberFormat="1" applyFont="1" applyFill="1" applyBorder="1"/>
    <xf numFmtId="4" fontId="9" fillId="0" borderId="39" xfId="1" applyNumberFormat="1" applyFont="1" applyFill="1" applyBorder="1"/>
    <xf numFmtId="4" fontId="9" fillId="0" borderId="21" xfId="1" applyNumberFormat="1" applyFont="1" applyFill="1" applyBorder="1"/>
    <xf numFmtId="4" fontId="9" fillId="0" borderId="40" xfId="1" applyNumberFormat="1" applyFont="1" applyFill="1" applyBorder="1"/>
    <xf numFmtId="4" fontId="9" fillId="0" borderId="41" xfId="1" applyNumberFormat="1" applyFont="1" applyFill="1" applyBorder="1"/>
    <xf numFmtId="4" fontId="20" fillId="0" borderId="22" xfId="1" applyNumberFormat="1" applyFont="1" applyFill="1" applyBorder="1"/>
    <xf numFmtId="164" fontId="8" fillId="2" borderId="4" xfId="1" applyNumberFormat="1" applyFont="1" applyFill="1" applyBorder="1" applyAlignment="1">
      <alignment horizontal="left"/>
    </xf>
    <xf numFmtId="164" fontId="8" fillId="2" borderId="45" xfId="1" quotePrefix="1" applyNumberFormat="1" applyFont="1" applyFill="1" applyBorder="1" applyAlignment="1">
      <alignment horizontal="left"/>
    </xf>
    <xf numFmtId="4" fontId="5" fillId="2" borderId="34" xfId="1" applyNumberFormat="1" applyFont="1" applyFill="1" applyBorder="1" applyAlignment="1">
      <alignment horizontal="center"/>
    </xf>
    <xf numFmtId="4" fontId="9" fillId="2" borderId="62" xfId="1" applyNumberFormat="1" applyFont="1" applyFill="1" applyBorder="1" applyAlignment="1">
      <alignment horizontal="center"/>
    </xf>
    <xf numFmtId="4" fontId="9" fillId="2" borderId="63" xfId="1" applyNumberFormat="1" applyFont="1" applyFill="1" applyBorder="1" applyAlignment="1">
      <alignment horizontal="center"/>
    </xf>
    <xf numFmtId="4" fontId="9" fillId="2" borderId="35" xfId="1" applyNumberFormat="1" applyFont="1" applyFill="1" applyBorder="1" applyAlignment="1">
      <alignment horizontal="center"/>
    </xf>
    <xf numFmtId="4" fontId="9" fillId="2" borderId="64" xfId="1" applyNumberFormat="1" applyFont="1" applyFill="1" applyBorder="1" applyAlignment="1">
      <alignment horizontal="center"/>
    </xf>
    <xf numFmtId="4" fontId="9" fillId="2" borderId="55" xfId="1" applyNumberFormat="1" applyFont="1" applyFill="1" applyBorder="1" applyAlignment="1">
      <alignment horizontal="center"/>
    </xf>
    <xf numFmtId="4" fontId="20" fillId="2" borderId="46" xfId="1" applyNumberFormat="1" applyFont="1" applyFill="1" applyBorder="1" applyAlignment="1">
      <alignment horizontal="center"/>
    </xf>
    <xf numFmtId="164" fontId="8" fillId="2" borderId="30" xfId="1" quotePrefix="1" applyNumberFormat="1" applyFont="1" applyFill="1" applyBorder="1" applyAlignment="1">
      <alignment horizontal="left"/>
    </xf>
    <xf numFmtId="4" fontId="5" fillId="2" borderId="30" xfId="1" applyNumberFormat="1" applyFont="1" applyFill="1" applyBorder="1" applyAlignment="1">
      <alignment horizontal="center"/>
    </xf>
    <xf numFmtId="4" fontId="9" fillId="2" borderId="25" xfId="1" applyNumberFormat="1" applyFont="1" applyFill="1" applyBorder="1" applyAlignment="1">
      <alignment horizontal="center"/>
    </xf>
    <xf numFmtId="4" fontId="9" fillId="2" borderId="28" xfId="1" applyNumberFormat="1" applyFont="1" applyFill="1" applyBorder="1" applyAlignment="1">
      <alignment horizontal="center"/>
    </xf>
    <xf numFmtId="4" fontId="9" fillId="2" borderId="29" xfId="1" applyNumberFormat="1" applyFont="1" applyFill="1" applyBorder="1" applyAlignment="1">
      <alignment horizontal="center"/>
    </xf>
    <xf numFmtId="4" fontId="9" fillId="2" borderId="33" xfId="1" applyNumberFormat="1" applyFont="1" applyFill="1" applyBorder="1" applyAlignment="1">
      <alignment horizontal="center"/>
    </xf>
    <xf numFmtId="4" fontId="9" fillId="2" borderId="32" xfId="1" applyNumberFormat="1" applyFont="1" applyFill="1" applyBorder="1" applyAlignment="1">
      <alignment horizontal="center"/>
    </xf>
    <xf numFmtId="4" fontId="20" fillId="2" borderId="24" xfId="1" applyNumberFormat="1" applyFont="1" applyFill="1" applyBorder="1" applyAlignment="1">
      <alignment horizontal="center"/>
    </xf>
    <xf numFmtId="164" fontId="8" fillId="2" borderId="50" xfId="1" applyNumberFormat="1" applyFont="1" applyFill="1" applyBorder="1" applyAlignment="1">
      <alignment horizontal="left"/>
    </xf>
    <xf numFmtId="164" fontId="8" fillId="2" borderId="36" xfId="1" quotePrefix="1" applyNumberFormat="1" applyFont="1" applyFill="1" applyBorder="1" applyAlignment="1">
      <alignment horizontal="left"/>
    </xf>
    <xf numFmtId="4" fontId="5" fillId="2" borderId="37" xfId="1" applyNumberFormat="1" applyFont="1" applyFill="1" applyBorder="1" applyAlignment="1">
      <alignment horizontal="center"/>
    </xf>
    <xf numFmtId="4" fontId="5" fillId="2" borderId="60" xfId="1" applyNumberFormat="1" applyFont="1" applyFill="1" applyBorder="1" applyAlignment="1">
      <alignment horizontal="center"/>
    </xf>
    <xf numFmtId="4" fontId="9" fillId="2" borderId="60" xfId="1" applyNumberFormat="1" applyFont="1" applyFill="1" applyBorder="1" applyAlignment="1">
      <alignment horizontal="center"/>
    </xf>
    <xf numFmtId="4" fontId="9" fillId="2" borderId="65" xfId="1" applyNumberFormat="1" applyFont="1" applyFill="1" applyBorder="1" applyAlignment="1">
      <alignment horizontal="center"/>
    </xf>
    <xf numFmtId="4" fontId="9" fillId="2" borderId="59" xfId="1" applyNumberFormat="1" applyFont="1" applyFill="1" applyBorder="1" applyAlignment="1">
      <alignment horizontal="center"/>
    </xf>
    <xf numFmtId="4" fontId="9" fillId="2" borderId="66" xfId="1" applyNumberFormat="1" applyFont="1" applyFill="1" applyBorder="1" applyAlignment="1">
      <alignment horizontal="center"/>
    </xf>
    <xf numFmtId="4" fontId="9" fillId="2" borderId="67" xfId="1" applyNumberFormat="1" applyFont="1" applyFill="1" applyBorder="1" applyAlignment="1">
      <alignment horizontal="center"/>
    </xf>
    <xf numFmtId="4" fontId="20" fillId="2" borderId="37" xfId="1" applyNumberFormat="1" applyFont="1" applyFill="1" applyBorder="1" applyAlignment="1">
      <alignment horizontal="center"/>
    </xf>
    <xf numFmtId="164" fontId="8" fillId="0" borderId="2" xfId="1" applyNumberFormat="1" applyFont="1" applyFill="1" applyBorder="1" applyAlignment="1">
      <alignment horizontal="left"/>
    </xf>
    <xf numFmtId="4" fontId="5" fillId="0" borderId="8" xfId="1" applyNumberFormat="1" applyFont="1" applyFill="1" applyBorder="1"/>
    <xf numFmtId="4" fontId="5" fillId="0" borderId="1" xfId="1" applyNumberFormat="1" applyFont="1" applyFill="1" applyBorder="1"/>
    <xf numFmtId="4" fontId="9" fillId="0" borderId="8" xfId="1" applyNumberFormat="1" applyFont="1" applyFill="1" applyBorder="1"/>
    <xf numFmtId="4" fontId="9" fillId="0" borderId="1" xfId="1" applyNumberFormat="1" applyFont="1" applyFill="1" applyBorder="1"/>
    <xf numFmtId="4" fontId="9" fillId="0" borderId="3" xfId="1" applyNumberFormat="1" applyFont="1" applyFill="1" applyBorder="1"/>
    <xf numFmtId="4" fontId="9" fillId="0" borderId="12" xfId="1" applyNumberFormat="1" applyFont="1" applyFill="1" applyBorder="1"/>
    <xf numFmtId="4" fontId="9" fillId="0" borderId="2" xfId="1" applyNumberFormat="1" applyFont="1" applyFill="1" applyBorder="1"/>
    <xf numFmtId="4" fontId="9" fillId="0" borderId="44" xfId="1" applyNumberFormat="1" applyFont="1" applyFill="1" applyBorder="1"/>
    <xf numFmtId="4" fontId="9" fillId="0" borderId="42" xfId="1" applyNumberFormat="1" applyFont="1" applyFill="1" applyBorder="1"/>
    <xf numFmtId="4" fontId="20" fillId="0" borderId="8" xfId="1" applyNumberFormat="1" applyFont="1" applyFill="1" applyBorder="1"/>
    <xf numFmtId="2" fontId="14" fillId="0" borderId="27" xfId="2" applyNumberFormat="1" applyFont="1" applyFill="1" applyBorder="1" applyAlignment="1">
      <alignment horizontal="right"/>
    </xf>
    <xf numFmtId="2" fontId="14" fillId="0" borderId="59" xfId="2" applyNumberFormat="1" applyFont="1" applyBorder="1" applyAlignment="1">
      <alignment horizontal="right"/>
    </xf>
    <xf numFmtId="2" fontId="14" fillId="0" borderId="29" xfId="2" applyNumberFormat="1" applyFont="1" applyFill="1" applyBorder="1" applyAlignment="1">
      <alignment horizontal="right"/>
    </xf>
    <xf numFmtId="2" fontId="14" fillId="0" borderId="60" xfId="2" applyNumberFormat="1" applyFont="1" applyBorder="1" applyAlignment="1">
      <alignment horizontal="right"/>
    </xf>
    <xf numFmtId="2" fontId="14" fillId="0" borderId="66" xfId="2" applyNumberFormat="1" applyFont="1" applyBorder="1" applyAlignment="1">
      <alignment horizontal="right"/>
    </xf>
    <xf numFmtId="2" fontId="14" fillId="0" borderId="65" xfId="2" applyNumberFormat="1" applyFont="1" applyBorder="1" applyAlignment="1">
      <alignment horizontal="right"/>
    </xf>
    <xf numFmtId="2" fontId="14" fillId="0" borderId="67" xfId="2" applyNumberFormat="1" applyFont="1" applyBorder="1" applyAlignment="1">
      <alignment horizontal="right"/>
    </xf>
    <xf numFmtId="2" fontId="14" fillId="0" borderId="36" xfId="2" applyNumberFormat="1" applyFont="1" applyBorder="1" applyAlignment="1">
      <alignment horizontal="right"/>
    </xf>
    <xf numFmtId="2" fontId="14" fillId="0" borderId="37" xfId="2" applyNumberFormat="1" applyFont="1" applyBorder="1" applyAlignment="1">
      <alignment horizontal="right"/>
    </xf>
    <xf numFmtId="2" fontId="14" fillId="0" borderId="37" xfId="2" applyNumberFormat="1" applyFont="1" applyBorder="1" applyAlignment="1">
      <alignment horizontal="right" vertical="center"/>
    </xf>
    <xf numFmtId="2" fontId="15" fillId="0" borderId="37" xfId="2" applyNumberFormat="1" applyFont="1" applyBorder="1" applyAlignment="1">
      <alignment horizontal="right" vertical="center"/>
    </xf>
    <xf numFmtId="164" fontId="8" fillId="2" borderId="30" xfId="1" applyNumberFormat="1" applyFont="1" applyFill="1" applyBorder="1"/>
    <xf numFmtId="164" fontId="8" fillId="2" borderId="29" xfId="1" applyNumberFormat="1" applyFont="1" applyFill="1" applyBorder="1"/>
    <xf numFmtId="2" fontId="14" fillId="0" borderId="28" xfId="2" applyNumberFormat="1" applyFont="1" applyFill="1" applyBorder="1" applyAlignment="1">
      <alignment horizontal="right"/>
    </xf>
    <xf numFmtId="164" fontId="8" fillId="2" borderId="23" xfId="1" applyNumberFormat="1" applyFont="1" applyFill="1" applyBorder="1"/>
    <xf numFmtId="164" fontId="8" fillId="2" borderId="21" xfId="1" applyNumberFormat="1" applyFont="1" applyFill="1" applyBorder="1"/>
    <xf numFmtId="2" fontId="14" fillId="0" borderId="58" xfId="2" applyNumberFormat="1" applyFont="1" applyFill="1" applyBorder="1" applyAlignment="1">
      <alignment horizontal="right"/>
    </xf>
    <xf numFmtId="2" fontId="14" fillId="0" borderId="59" xfId="2" applyNumberFormat="1" applyFont="1" applyFill="1" applyBorder="1" applyAlignment="1">
      <alignment horizontal="right"/>
    </xf>
    <xf numFmtId="2" fontId="14" fillId="0" borderId="36" xfId="2" applyNumberFormat="1" applyFont="1" applyFill="1" applyBorder="1" applyAlignment="1">
      <alignment horizontal="right"/>
    </xf>
    <xf numFmtId="164" fontId="8" fillId="0" borderId="50" xfId="1" applyNumberFormat="1" applyFont="1" applyFill="1" applyBorder="1"/>
    <xf numFmtId="164" fontId="8" fillId="0" borderId="49" xfId="1" applyNumberFormat="1" applyFont="1" applyFill="1" applyBorder="1"/>
    <xf numFmtId="4" fontId="16" fillId="0" borderId="54" xfId="1" applyNumberFormat="1" applyFont="1" applyFill="1" applyBorder="1"/>
    <xf numFmtId="4" fontId="16" fillId="0" borderId="6" xfId="1" applyNumberFormat="1" applyFont="1" applyFill="1" applyBorder="1"/>
    <xf numFmtId="4" fontId="16" fillId="0" borderId="53" xfId="1" applyNumberFormat="1" applyFont="1" applyFill="1" applyBorder="1"/>
    <xf numFmtId="4" fontId="16" fillId="0" borderId="7" xfId="1" applyNumberFormat="1" applyFont="1" applyFill="1" applyBorder="1"/>
    <xf numFmtId="4" fontId="16" fillId="0" borderId="61" xfId="1" applyNumberFormat="1" applyFont="1" applyFill="1" applyBorder="1"/>
    <xf numFmtId="4" fontId="16" fillId="0" borderId="52" xfId="1" applyNumberFormat="1" applyFont="1" applyFill="1" applyBorder="1"/>
    <xf numFmtId="4" fontId="16" fillId="0" borderId="19" xfId="1" applyNumberFormat="1" applyFont="1" applyFill="1" applyBorder="1"/>
    <xf numFmtId="4" fontId="17" fillId="0" borderId="54" xfId="1" applyNumberFormat="1" applyFont="1" applyFill="1" applyBorder="1"/>
    <xf numFmtId="164" fontId="8" fillId="0" borderId="10" xfId="1" applyNumberFormat="1" applyFont="1" applyFill="1" applyBorder="1"/>
    <xf numFmtId="164" fontId="8" fillId="0" borderId="13" xfId="1" applyNumberFormat="1" applyFont="1" applyFill="1" applyBorder="1"/>
    <xf numFmtId="4" fontId="5" fillId="0" borderId="9" xfId="1" applyNumberFormat="1" applyFont="1" applyFill="1" applyBorder="1"/>
    <xf numFmtId="4" fontId="5" fillId="0" borderId="10" xfId="1" applyNumberFormat="1" applyFont="1" applyFill="1" applyBorder="1"/>
    <xf numFmtId="4" fontId="9" fillId="0" borderId="9" xfId="1" applyNumberFormat="1" applyFont="1" applyFill="1" applyBorder="1"/>
    <xf numFmtId="4" fontId="9" fillId="0" borderId="10" xfId="1" applyNumberFormat="1" applyFont="1" applyFill="1" applyBorder="1"/>
    <xf numFmtId="4" fontId="9" fillId="0" borderId="11" xfId="1" applyNumberFormat="1" applyFont="1" applyFill="1" applyBorder="1"/>
    <xf numFmtId="4" fontId="16" fillId="0" borderId="9" xfId="1" applyNumberFormat="1" applyFont="1" applyFill="1" applyBorder="1"/>
    <xf numFmtId="4" fontId="16" fillId="0" borderId="10" xfId="1" applyNumberFormat="1" applyFont="1" applyFill="1" applyBorder="1"/>
    <xf numFmtId="4" fontId="16" fillId="0" borderId="14" xfId="1" applyNumberFormat="1" applyFont="1" applyFill="1" applyBorder="1"/>
    <xf numFmtId="4" fontId="16" fillId="0" borderId="13" xfId="1" applyNumberFormat="1" applyFont="1" applyFill="1" applyBorder="1"/>
    <xf numFmtId="4" fontId="16" fillId="0" borderId="15" xfId="1" applyNumberFormat="1" applyFont="1" applyFill="1" applyBorder="1"/>
    <xf numFmtId="4" fontId="16" fillId="0" borderId="11" xfId="1" applyNumberFormat="1" applyFont="1" applyFill="1" applyBorder="1"/>
    <xf numFmtId="4" fontId="16" fillId="0" borderId="17" xfId="1" applyNumberFormat="1" applyFont="1" applyFill="1" applyBorder="1"/>
    <xf numFmtId="4" fontId="17" fillId="0" borderId="9" xfId="1" applyNumberFormat="1" applyFont="1" applyFill="1" applyBorder="1"/>
    <xf numFmtId="4" fontId="9" fillId="2" borderId="26" xfId="1" applyNumberFormat="1" applyFont="1" applyFill="1" applyBorder="1" applyAlignment="1">
      <alignment horizontal="center"/>
    </xf>
    <xf numFmtId="4" fontId="9" fillId="2" borderId="4" xfId="1" applyNumberFormat="1" applyFont="1" applyFill="1" applyBorder="1" applyAlignment="1">
      <alignment horizontal="center"/>
    </xf>
    <xf numFmtId="2" fontId="14" fillId="0" borderId="68" xfId="2" applyNumberFormat="1" applyFont="1" applyFill="1" applyBorder="1" applyAlignment="1">
      <alignment horizontal="right"/>
    </xf>
    <xf numFmtId="2" fontId="14" fillId="0" borderId="63" xfId="2" applyNumberFormat="1" applyFont="1" applyFill="1" applyBorder="1" applyAlignment="1">
      <alignment horizontal="right"/>
    </xf>
    <xf numFmtId="2" fontId="14" fillId="0" borderId="35" xfId="2" applyNumberFormat="1" applyFont="1" applyFill="1" applyBorder="1" applyAlignment="1">
      <alignment horizontal="right"/>
    </xf>
    <xf numFmtId="2" fontId="14" fillId="0" borderId="34" xfId="2" applyNumberFormat="1" applyFont="1" applyFill="1" applyBorder="1" applyAlignment="1">
      <alignment horizontal="right"/>
    </xf>
    <xf numFmtId="2" fontId="14" fillId="0" borderId="64" xfId="2" applyNumberFormat="1" applyFont="1" applyFill="1" applyBorder="1" applyAlignment="1">
      <alignment horizontal="right"/>
    </xf>
    <xf numFmtId="2" fontId="14" fillId="0" borderId="62" xfId="2" applyNumberFormat="1" applyFont="1" applyFill="1" applyBorder="1" applyAlignment="1">
      <alignment horizontal="right"/>
    </xf>
    <xf numFmtId="2" fontId="14" fillId="0" borderId="55" xfId="2" applyNumberFormat="1" applyFont="1" applyFill="1" applyBorder="1" applyAlignment="1">
      <alignment horizontal="right"/>
    </xf>
    <xf numFmtId="2" fontId="14" fillId="0" borderId="46" xfId="2" applyNumberFormat="1" applyFont="1" applyFill="1" applyBorder="1" applyAlignment="1">
      <alignment horizontal="right"/>
    </xf>
    <xf numFmtId="2" fontId="14" fillId="0" borderId="46" xfId="2" applyNumberFormat="1" applyFont="1" applyFill="1" applyBorder="1" applyAlignment="1">
      <alignment horizontal="right" vertical="center"/>
    </xf>
    <xf numFmtId="2" fontId="15" fillId="0" borderId="46" xfId="2" applyNumberFormat="1" applyFont="1" applyFill="1" applyBorder="1" applyAlignment="1">
      <alignment horizontal="right" vertical="center"/>
    </xf>
    <xf numFmtId="2" fontId="14" fillId="0" borderId="30" xfId="2" applyNumberFormat="1" applyFont="1" applyFill="1" applyBorder="1" applyAlignment="1">
      <alignment horizontal="right"/>
    </xf>
    <xf numFmtId="2" fontId="14" fillId="0" borderId="33" xfId="2" applyNumberFormat="1" applyFont="1" applyFill="1" applyBorder="1" applyAlignment="1">
      <alignment horizontal="right"/>
    </xf>
    <xf numFmtId="2" fontId="14" fillId="0" borderId="25" xfId="2" applyNumberFormat="1" applyFont="1" applyFill="1" applyBorder="1" applyAlignment="1">
      <alignment horizontal="right"/>
    </xf>
    <xf numFmtId="2" fontId="14" fillId="0" borderId="32" xfId="2" applyNumberFormat="1" applyFont="1" applyFill="1" applyBorder="1" applyAlignment="1">
      <alignment horizontal="right"/>
    </xf>
    <xf numFmtId="2" fontId="14" fillId="0" borderId="24" xfId="2" applyNumberFormat="1" applyFont="1" applyFill="1" applyBorder="1" applyAlignment="1">
      <alignment horizontal="right"/>
    </xf>
    <xf numFmtId="2" fontId="14" fillId="0" borderId="24" xfId="2" applyNumberFormat="1" applyFont="1" applyFill="1" applyBorder="1" applyAlignment="1">
      <alignment horizontal="right" vertical="center"/>
    </xf>
    <xf numFmtId="2" fontId="15" fillId="0" borderId="24" xfId="2" applyNumberFormat="1" applyFont="1" applyFill="1" applyBorder="1" applyAlignment="1">
      <alignment horizontal="right" vertical="center"/>
    </xf>
    <xf numFmtId="2" fontId="15" fillId="0" borderId="46" xfId="2" applyNumberFormat="1" applyFont="1" applyFill="1" applyBorder="1" applyAlignment="1">
      <alignment horizontal="right"/>
    </xf>
    <xf numFmtId="2" fontId="15" fillId="0" borderId="24" xfId="2" applyNumberFormat="1" applyFont="1" applyFill="1" applyBorder="1" applyAlignment="1">
      <alignment horizontal="right"/>
    </xf>
    <xf numFmtId="0" fontId="8" fillId="2" borderId="30" xfId="1" applyFont="1" applyFill="1" applyBorder="1"/>
    <xf numFmtId="0" fontId="8" fillId="2" borderId="29" xfId="1" applyFont="1" applyFill="1" applyBorder="1"/>
    <xf numFmtId="2" fontId="9" fillId="0" borderId="30" xfId="2" applyNumberFormat="1" applyFont="1" applyFill="1" applyBorder="1" applyAlignment="1">
      <alignment horizontal="right"/>
    </xf>
    <xf numFmtId="164" fontId="8" fillId="2" borderId="23" xfId="1" applyNumberFormat="1" applyFont="1" applyFill="1" applyBorder="1" applyAlignment="1">
      <alignment horizontal="left"/>
    </xf>
    <xf numFmtId="164" fontId="8" fillId="2" borderId="21" xfId="1" applyNumberFormat="1" applyFont="1" applyFill="1" applyBorder="1" applyAlignment="1">
      <alignment horizontal="left"/>
    </xf>
    <xf numFmtId="2" fontId="9" fillId="0" borderId="22" xfId="2" applyNumberFormat="1" applyFont="1" applyFill="1" applyBorder="1" applyAlignment="1">
      <alignment horizontal="right"/>
    </xf>
    <xf numFmtId="2" fontId="9" fillId="0" borderId="23" xfId="2" applyNumberFormat="1" applyFont="1" applyFill="1" applyBorder="1" applyAlignment="1">
      <alignment horizontal="right"/>
    </xf>
    <xf numFmtId="2" fontId="9" fillId="0" borderId="38" xfId="2" applyNumberFormat="1" applyFont="1" applyFill="1" applyBorder="1" applyAlignment="1">
      <alignment horizontal="right"/>
    </xf>
    <xf numFmtId="2" fontId="16" fillId="0" borderId="22" xfId="2" applyNumberFormat="1" applyFont="1" applyFill="1" applyBorder="1" applyAlignment="1">
      <alignment horizontal="right"/>
    </xf>
    <xf numFmtId="2" fontId="14" fillId="0" borderId="69" xfId="2" applyNumberFormat="1" applyFont="1" applyFill="1" applyBorder="1" applyAlignment="1">
      <alignment horizontal="right"/>
    </xf>
    <xf numFmtId="2" fontId="14" fillId="0" borderId="39" xfId="2" applyNumberFormat="1" applyFont="1" applyFill="1" applyBorder="1" applyAlignment="1">
      <alignment horizontal="right"/>
    </xf>
    <xf numFmtId="2" fontId="14" fillId="0" borderId="21" xfId="2" applyNumberFormat="1" applyFont="1" applyFill="1" applyBorder="1" applyAlignment="1">
      <alignment horizontal="right"/>
    </xf>
    <xf numFmtId="2" fontId="14" fillId="0" borderId="23" xfId="2" applyNumberFormat="1" applyFont="1" applyFill="1" applyBorder="1" applyAlignment="1">
      <alignment horizontal="right"/>
    </xf>
    <xf numFmtId="2" fontId="14" fillId="0" borderId="40" xfId="2" applyNumberFormat="1" applyFont="1" applyFill="1" applyBorder="1" applyAlignment="1">
      <alignment horizontal="right"/>
    </xf>
    <xf numFmtId="2" fontId="14" fillId="0" borderId="38" xfId="2" applyNumberFormat="1" applyFont="1" applyFill="1" applyBorder="1" applyAlignment="1">
      <alignment horizontal="right"/>
    </xf>
    <xf numFmtId="2" fontId="14" fillId="0" borderId="41" xfId="2" applyNumberFormat="1" applyFont="1" applyFill="1" applyBorder="1" applyAlignment="1">
      <alignment horizontal="right"/>
    </xf>
    <xf numFmtId="2" fontId="14" fillId="0" borderId="22" xfId="2" applyNumberFormat="1" applyFont="1" applyFill="1" applyBorder="1" applyAlignment="1">
      <alignment horizontal="right"/>
    </xf>
    <xf numFmtId="2" fontId="15" fillId="0" borderId="22" xfId="2" applyNumberFormat="1" applyFont="1" applyFill="1" applyBorder="1" applyAlignment="1">
      <alignment horizontal="right"/>
    </xf>
    <xf numFmtId="164" fontId="8" fillId="2" borderId="0" xfId="1" applyNumberFormat="1" applyFont="1" applyFill="1" applyBorder="1" applyAlignment="1">
      <alignment horizontal="left"/>
    </xf>
    <xf numFmtId="164" fontId="3" fillId="2" borderId="0" xfId="1" applyNumberFormat="1" applyFont="1" applyFill="1" applyBorder="1" applyAlignment="1">
      <alignment horizontal="left"/>
    </xf>
    <xf numFmtId="4" fontId="5" fillId="2" borderId="0" xfId="1" applyNumberFormat="1" applyFont="1" applyFill="1" applyBorder="1" applyAlignment="1">
      <alignment horizontal="center"/>
    </xf>
    <xf numFmtId="4" fontId="9" fillId="2" borderId="0" xfId="1" applyNumberFormat="1" applyFont="1" applyFill="1" applyBorder="1" applyAlignment="1">
      <alignment horizontal="center"/>
    </xf>
    <xf numFmtId="2" fontId="9" fillId="0" borderId="0" xfId="2" applyNumberFormat="1" applyFont="1" applyFill="1" applyBorder="1" applyAlignment="1">
      <alignment horizontal="right"/>
    </xf>
    <xf numFmtId="2" fontId="16" fillId="0" borderId="0" xfId="2" applyNumberFormat="1" applyFont="1" applyFill="1" applyBorder="1" applyAlignment="1">
      <alignment horizontal="right"/>
    </xf>
    <xf numFmtId="2" fontId="14" fillId="0" borderId="0" xfId="2" applyNumberFormat="1" applyFont="1" applyFill="1" applyBorder="1" applyAlignment="1">
      <alignment horizontal="right"/>
    </xf>
    <xf numFmtId="0" fontId="22" fillId="2" borderId="0" xfId="1" applyFont="1" applyFill="1"/>
    <xf numFmtId="0" fontId="9" fillId="2" borderId="0" xfId="1" applyFont="1" applyFill="1"/>
    <xf numFmtId="0" fontId="23" fillId="0" borderId="0" xfId="2" applyFont="1" applyFill="1" applyBorder="1" applyAlignment="1">
      <alignment horizontal="center"/>
    </xf>
    <xf numFmtId="164" fontId="23" fillId="0" borderId="0" xfId="2" applyNumberFormat="1" applyFont="1" applyFill="1" applyBorder="1" applyAlignment="1">
      <alignment horizontal="center"/>
    </xf>
    <xf numFmtId="0" fontId="18" fillId="0" borderId="0" xfId="2" applyFont="1" applyFill="1" applyBorder="1" applyAlignment="1">
      <alignment horizontal="center"/>
    </xf>
    <xf numFmtId="164" fontId="18" fillId="0" borderId="0" xfId="2" applyNumberFormat="1" applyFont="1" applyFill="1" applyBorder="1" applyAlignment="1">
      <alignment horizontal="center"/>
    </xf>
    <xf numFmtId="164" fontId="9" fillId="0" borderId="0" xfId="2" applyNumberFormat="1" applyFont="1" applyFill="1" applyBorder="1" applyAlignment="1">
      <alignment horizontal="center"/>
    </xf>
    <xf numFmtId="164" fontId="24" fillId="0" borderId="0" xfId="2" applyNumberFormat="1" applyFont="1" applyFill="1" applyBorder="1" applyAlignment="1">
      <alignment horizontal="center"/>
    </xf>
    <xf numFmtId="164" fontId="25" fillId="0" borderId="0" xfId="2" applyNumberFormat="1" applyFont="1" applyFill="1" applyBorder="1" applyAlignment="1">
      <alignment horizontal="center"/>
    </xf>
    <xf numFmtId="0" fontId="26" fillId="0" borderId="0" xfId="2" applyFont="1"/>
    <xf numFmtId="0" fontId="27" fillId="2" borderId="0" xfId="1" applyFont="1" applyFill="1"/>
    <xf numFmtId="0" fontId="6" fillId="2" borderId="0" xfId="1" applyFont="1" applyFill="1" applyBorder="1"/>
    <xf numFmtId="0" fontId="28" fillId="2" borderId="0" xfId="1" applyFont="1" applyFill="1"/>
    <xf numFmtId="0" fontId="30" fillId="2" borderId="0" xfId="1" applyFont="1" applyFill="1"/>
    <xf numFmtId="0" fontId="30" fillId="3" borderId="0" xfId="1" applyFont="1" applyFill="1" applyAlignment="1">
      <alignment horizontal="center"/>
    </xf>
    <xf numFmtId="0" fontId="30" fillId="2" borderId="0" xfId="1" applyFont="1" applyFill="1" applyAlignment="1">
      <alignment horizontal="center"/>
    </xf>
    <xf numFmtId="0" fontId="31" fillId="2" borderId="0" xfId="1" applyFont="1" applyFill="1" applyAlignment="1">
      <alignment horizontal="center"/>
    </xf>
    <xf numFmtId="0" fontId="30" fillId="3" borderId="0" xfId="1" applyFont="1" applyFill="1" applyBorder="1" applyAlignment="1">
      <alignment horizontal="center"/>
    </xf>
    <xf numFmtId="164" fontId="32" fillId="3" borderId="0" xfId="2" applyNumberFormat="1" applyFont="1" applyFill="1" applyBorder="1"/>
    <xf numFmtId="0" fontId="33" fillId="2" borderId="0" xfId="2" applyFont="1" applyFill="1"/>
    <xf numFmtId="0" fontId="33" fillId="0" borderId="0" xfId="2" applyFont="1"/>
    <xf numFmtId="0" fontId="34" fillId="0" borderId="0" xfId="2" applyFont="1"/>
    <xf numFmtId="0" fontId="34" fillId="0" borderId="0" xfId="2" applyFont="1" applyBorder="1"/>
    <xf numFmtId="0" fontId="35" fillId="0" borderId="0" xfId="2" applyFont="1"/>
    <xf numFmtId="0" fontId="36" fillId="0" borderId="0" xfId="2" applyFont="1"/>
    <xf numFmtId="0" fontId="35" fillId="2" borderId="0" xfId="1" applyFont="1" applyFill="1"/>
    <xf numFmtId="166" fontId="36" fillId="2" borderId="0" xfId="1" applyNumberFormat="1" applyFont="1" applyFill="1" applyAlignment="1">
      <alignment horizontal="center"/>
    </xf>
    <xf numFmtId="0" fontId="35" fillId="2" borderId="0" xfId="1" applyFont="1" applyFill="1" applyAlignment="1">
      <alignment horizontal="center"/>
    </xf>
    <xf numFmtId="0" fontId="37" fillId="2" borderId="0" xfId="2" applyFont="1" applyFill="1"/>
    <xf numFmtId="0" fontId="37" fillId="0" borderId="0" xfId="2" applyFont="1"/>
    <xf numFmtId="0" fontId="38" fillId="0" borderId="0" xfId="2" applyFont="1"/>
    <xf numFmtId="0" fontId="36" fillId="0" borderId="0" xfId="2" applyFont="1" applyAlignment="1">
      <alignment vertical="top"/>
    </xf>
    <xf numFmtId="9" fontId="31" fillId="3" borderId="0" xfId="9" applyNumberFormat="1" applyFont="1" applyFill="1" applyBorder="1"/>
    <xf numFmtId="164" fontId="36" fillId="0" borderId="22" xfId="2" applyNumberFormat="1" applyFont="1" applyBorder="1"/>
    <xf numFmtId="164" fontId="36" fillId="0" borderId="23" xfId="2" applyNumberFormat="1" applyFont="1" applyBorder="1"/>
    <xf numFmtId="164" fontId="40" fillId="0" borderId="23" xfId="2" applyNumberFormat="1" applyFont="1" applyBorder="1"/>
    <xf numFmtId="164" fontId="40" fillId="0" borderId="22" xfId="2" applyNumberFormat="1" applyFont="1" applyBorder="1"/>
    <xf numFmtId="164" fontId="40" fillId="0" borderId="69" xfId="2" applyNumberFormat="1" applyFont="1" applyBorder="1"/>
    <xf numFmtId="164" fontId="40" fillId="0" borderId="38" xfId="2" applyNumberFormat="1" applyFont="1" applyBorder="1"/>
    <xf numFmtId="164" fontId="40" fillId="0" borderId="40" xfId="2" applyNumberFormat="1" applyFont="1" applyBorder="1"/>
    <xf numFmtId="164" fontId="40" fillId="0" borderId="39" xfId="2" applyNumberFormat="1" applyFont="1" applyBorder="1"/>
    <xf numFmtId="164" fontId="41" fillId="0" borderId="39" xfId="2" applyNumberFormat="1" applyFont="1" applyBorder="1"/>
    <xf numFmtId="164" fontId="41" fillId="0" borderId="41" xfId="2" applyNumberFormat="1" applyFont="1" applyBorder="1"/>
    <xf numFmtId="164" fontId="41" fillId="0" borderId="22" xfId="2" applyNumberFormat="1" applyFont="1" applyBorder="1"/>
    <xf numFmtId="164" fontId="41" fillId="0" borderId="23" xfId="2" applyNumberFormat="1" applyFont="1" applyBorder="1"/>
    <xf numFmtId="164" fontId="41" fillId="0" borderId="69" xfId="2" applyNumberFormat="1" applyFont="1" applyBorder="1"/>
    <xf numFmtId="164" fontId="41" fillId="0" borderId="38" xfId="2" applyNumberFormat="1" applyFont="1" applyBorder="1"/>
    <xf numFmtId="164" fontId="36" fillId="0" borderId="39" xfId="2" applyNumberFormat="1" applyFont="1" applyBorder="1"/>
    <xf numFmtId="164" fontId="36" fillId="0" borderId="41" xfId="2" applyNumberFormat="1" applyFont="1" applyBorder="1"/>
    <xf numFmtId="0" fontId="36" fillId="0" borderId="22" xfId="2" applyFont="1" applyBorder="1"/>
    <xf numFmtId="164" fontId="36" fillId="0" borderId="37" xfId="2" applyNumberFormat="1" applyFont="1" applyBorder="1"/>
    <xf numFmtId="164" fontId="35" fillId="0" borderId="60" xfId="2" applyNumberFormat="1" applyFont="1" applyBorder="1"/>
    <xf numFmtId="164" fontId="36" fillId="0" borderId="60" xfId="2" applyNumberFormat="1" applyFont="1" applyBorder="1"/>
    <xf numFmtId="164" fontId="40" fillId="0" borderId="60" xfId="2" applyNumberFormat="1" applyFont="1" applyBorder="1"/>
    <xf numFmtId="164" fontId="40" fillId="0" borderId="37" xfId="2" applyNumberFormat="1" applyFont="1" applyBorder="1"/>
    <xf numFmtId="164" fontId="40" fillId="0" borderId="58" xfId="2" applyNumberFormat="1" applyFont="1" applyBorder="1"/>
    <xf numFmtId="164" fontId="40" fillId="0" borderId="65" xfId="2" applyNumberFormat="1" applyFont="1" applyBorder="1"/>
    <xf numFmtId="164" fontId="40" fillId="0" borderId="66" xfId="2" applyNumberFormat="1" applyFont="1" applyBorder="1"/>
    <xf numFmtId="164" fontId="40" fillId="0" borderId="59" xfId="2" applyNumberFormat="1" applyFont="1" applyBorder="1"/>
    <xf numFmtId="164" fontId="41" fillId="0" borderId="59" xfId="2" applyNumberFormat="1" applyFont="1" applyBorder="1"/>
    <xf numFmtId="164" fontId="41" fillId="0" borderId="67" xfId="2" applyNumberFormat="1" applyFont="1" applyBorder="1"/>
    <xf numFmtId="164" fontId="41" fillId="0" borderId="37" xfId="2" applyNumberFormat="1" applyFont="1" applyBorder="1"/>
    <xf numFmtId="164" fontId="41" fillId="0" borderId="60" xfId="2" applyNumberFormat="1" applyFont="1" applyBorder="1"/>
    <xf numFmtId="164" fontId="41" fillId="0" borderId="58" xfId="2" applyNumberFormat="1" applyFont="1" applyBorder="1"/>
    <xf numFmtId="164" fontId="41" fillId="0" borderId="65" xfId="2" applyNumberFormat="1" applyFont="1" applyBorder="1"/>
    <xf numFmtId="164" fontId="36" fillId="0" borderId="59" xfId="2" applyNumberFormat="1" applyFont="1" applyBorder="1"/>
    <xf numFmtId="164" fontId="36" fillId="0" borderId="67" xfId="2" applyNumberFormat="1" applyFont="1" applyBorder="1"/>
    <xf numFmtId="0" fontId="36" fillId="0" borderId="24" xfId="2" applyFont="1" applyBorder="1"/>
    <xf numFmtId="164" fontId="35" fillId="0" borderId="37" xfId="2" applyNumberFormat="1" applyFont="1" applyBorder="1"/>
    <xf numFmtId="164" fontId="32" fillId="0" borderId="60" xfId="2" applyNumberFormat="1" applyFont="1" applyBorder="1"/>
    <xf numFmtId="164" fontId="32" fillId="0" borderId="37" xfId="2" applyNumberFormat="1" applyFont="1" applyBorder="1"/>
    <xf numFmtId="164" fontId="32" fillId="0" borderId="58" xfId="2" applyNumberFormat="1" applyFont="1" applyBorder="1"/>
    <xf numFmtId="164" fontId="32" fillId="0" borderId="65" xfId="2" applyNumberFormat="1" applyFont="1" applyBorder="1"/>
    <xf numFmtId="164" fontId="32" fillId="0" borderId="66" xfId="2" applyNumberFormat="1" applyFont="1" applyBorder="1"/>
    <xf numFmtId="164" fontId="32" fillId="0" borderId="59" xfId="2" applyNumberFormat="1" applyFont="1" applyBorder="1"/>
    <xf numFmtId="164" fontId="34" fillId="0" borderId="59" xfId="2" applyNumberFormat="1" applyFont="1" applyBorder="1"/>
    <xf numFmtId="164" fontId="34" fillId="0" borderId="67" xfId="2" applyNumberFormat="1" applyFont="1" applyBorder="1"/>
    <xf numFmtId="164" fontId="34" fillId="0" borderId="37" xfId="2" applyNumberFormat="1" applyFont="1" applyBorder="1"/>
    <xf numFmtId="164" fontId="34" fillId="0" borderId="60" xfId="2" applyNumberFormat="1" applyFont="1" applyBorder="1"/>
    <xf numFmtId="164" fontId="34" fillId="0" borderId="58" xfId="2" applyNumberFormat="1" applyFont="1" applyBorder="1"/>
    <xf numFmtId="164" fontId="34" fillId="0" borderId="65" xfId="2" applyNumberFormat="1" applyFont="1" applyBorder="1"/>
    <xf numFmtId="164" fontId="35" fillId="0" borderId="59" xfId="2" applyNumberFormat="1" applyFont="1" applyBorder="1"/>
    <xf numFmtId="164" fontId="35" fillId="0" borderId="67" xfId="2" applyNumberFormat="1" applyFont="1" applyBorder="1"/>
    <xf numFmtId="0" fontId="35" fillId="0" borderId="24" xfId="2" applyFont="1" applyBorder="1"/>
    <xf numFmtId="9" fontId="31" fillId="2" borderId="0" xfId="9" applyFont="1" applyFill="1"/>
    <xf numFmtId="0" fontId="30" fillId="4" borderId="0" xfId="1" applyFont="1" applyFill="1"/>
    <xf numFmtId="164" fontId="35" fillId="4" borderId="37" xfId="2" applyNumberFormat="1" applyFont="1" applyFill="1" applyBorder="1"/>
    <xf numFmtId="164" fontId="35" fillId="4" borderId="60" xfId="2" applyNumberFormat="1" applyFont="1" applyFill="1" applyBorder="1"/>
    <xf numFmtId="164" fontId="32" fillId="4" borderId="60" xfId="2" applyNumberFormat="1" applyFont="1" applyFill="1" applyBorder="1"/>
    <xf numFmtId="164" fontId="32" fillId="4" borderId="37" xfId="2" applyNumberFormat="1" applyFont="1" applyFill="1" applyBorder="1"/>
    <xf numFmtId="164" fontId="32" fillId="4" borderId="58" xfId="2" applyNumberFormat="1" applyFont="1" applyFill="1" applyBorder="1"/>
    <xf numFmtId="164" fontId="32" fillId="4" borderId="65" xfId="2" applyNumberFormat="1" applyFont="1" applyFill="1" applyBorder="1"/>
    <xf numFmtId="164" fontId="32" fillId="4" borderId="66" xfId="2" applyNumberFormat="1" applyFont="1" applyFill="1" applyBorder="1"/>
    <xf numFmtId="164" fontId="32" fillId="4" borderId="59" xfId="2" applyNumberFormat="1" applyFont="1" applyFill="1" applyBorder="1"/>
    <xf numFmtId="164" fontId="34" fillId="4" borderId="59" xfId="2" applyNumberFormat="1" applyFont="1" applyFill="1" applyBorder="1"/>
    <xf numFmtId="164" fontId="34" fillId="4" borderId="67" xfId="2" applyNumberFormat="1" applyFont="1" applyFill="1" applyBorder="1"/>
    <xf numFmtId="164" fontId="34" fillId="4" borderId="37" xfId="2" applyNumberFormat="1" applyFont="1" applyFill="1" applyBorder="1"/>
    <xf numFmtId="164" fontId="34" fillId="4" borderId="60" xfId="2" applyNumberFormat="1" applyFont="1" applyFill="1" applyBorder="1"/>
    <xf numFmtId="164" fontId="34" fillId="4" borderId="58" xfId="2" applyNumberFormat="1" applyFont="1" applyFill="1" applyBorder="1"/>
    <xf numFmtId="164" fontId="34" fillId="4" borderId="65" xfId="2" applyNumberFormat="1" applyFont="1" applyFill="1" applyBorder="1"/>
    <xf numFmtId="164" fontId="35" fillId="4" borderId="59" xfId="2" applyNumberFormat="1" applyFont="1" applyFill="1" applyBorder="1"/>
    <xf numFmtId="164" fontId="35" fillId="4" borderId="67" xfId="2" applyNumberFormat="1" applyFont="1" applyFill="1" applyBorder="1"/>
    <xf numFmtId="0" fontId="30" fillId="4" borderId="0" xfId="1" applyFont="1" applyFill="1" applyAlignment="1">
      <alignment horizontal="center"/>
    </xf>
    <xf numFmtId="0" fontId="35" fillId="4" borderId="24" xfId="2" applyFont="1" applyFill="1" applyBorder="1"/>
    <xf numFmtId="164" fontId="32" fillId="4" borderId="28" xfId="2" applyNumberFormat="1" applyFont="1" applyFill="1" applyBorder="1"/>
    <xf numFmtId="164" fontId="32" fillId="0" borderId="28" xfId="2" applyNumberFormat="1" applyFont="1" applyBorder="1"/>
    <xf numFmtId="164" fontId="32" fillId="4" borderId="50" xfId="2" applyNumberFormat="1" applyFont="1" applyFill="1" applyBorder="1"/>
    <xf numFmtId="164" fontId="32" fillId="4" borderId="70" xfId="2" applyNumberFormat="1" applyFont="1" applyFill="1" applyBorder="1"/>
    <xf numFmtId="164" fontId="32" fillId="4" borderId="47" xfId="2" applyNumberFormat="1" applyFont="1" applyFill="1" applyBorder="1"/>
    <xf numFmtId="164" fontId="32" fillId="4" borderId="0" xfId="2" applyNumberFormat="1" applyFont="1" applyFill="1" applyBorder="1"/>
    <xf numFmtId="164" fontId="32" fillId="4" borderId="48" xfId="2" applyNumberFormat="1" applyFont="1" applyFill="1" applyBorder="1"/>
    <xf numFmtId="164" fontId="32" fillId="4" borderId="26" xfId="2" applyNumberFormat="1" applyFont="1" applyFill="1" applyBorder="1"/>
    <xf numFmtId="164" fontId="32" fillId="4" borderId="4" xfId="2" applyNumberFormat="1" applyFont="1" applyFill="1" applyBorder="1"/>
    <xf numFmtId="164" fontId="32" fillId="4" borderId="71" xfId="2" applyNumberFormat="1" applyFont="1" applyFill="1" applyBorder="1"/>
    <xf numFmtId="164" fontId="32" fillId="4" borderId="5" xfId="2" applyNumberFormat="1" applyFont="1" applyFill="1" applyBorder="1"/>
    <xf numFmtId="164" fontId="32" fillId="4" borderId="72" xfId="2" applyNumberFormat="1" applyFont="1" applyFill="1" applyBorder="1"/>
    <xf numFmtId="164" fontId="32" fillId="4" borderId="51" xfId="2" applyNumberFormat="1" applyFont="1" applyFill="1" applyBorder="1"/>
    <xf numFmtId="164" fontId="34" fillId="4" borderId="48" xfId="2" applyNumberFormat="1" applyFont="1" applyFill="1" applyBorder="1"/>
    <xf numFmtId="164" fontId="34" fillId="4" borderId="73" xfId="2" applyNumberFormat="1" applyFont="1" applyFill="1" applyBorder="1"/>
    <xf numFmtId="164" fontId="34" fillId="4" borderId="70" xfId="2" applyNumberFormat="1" applyFont="1" applyFill="1" applyBorder="1"/>
    <xf numFmtId="164" fontId="34" fillId="4" borderId="50" xfId="2" applyNumberFormat="1" applyFont="1" applyFill="1" applyBorder="1"/>
    <xf numFmtId="164" fontId="34" fillId="4" borderId="47" xfId="2" applyNumberFormat="1" applyFont="1" applyFill="1" applyBorder="1"/>
    <xf numFmtId="164" fontId="34" fillId="4" borderId="0" xfId="2" applyNumberFormat="1" applyFont="1" applyFill="1" applyBorder="1"/>
    <xf numFmtId="164" fontId="35" fillId="4" borderId="48" xfId="2" applyNumberFormat="1" applyFont="1" applyFill="1" applyBorder="1"/>
    <xf numFmtId="164" fontId="35" fillId="4" borderId="73" xfId="2" applyNumberFormat="1" applyFont="1" applyFill="1" applyBorder="1"/>
    <xf numFmtId="0" fontId="35" fillId="4" borderId="46" xfId="2" applyFont="1" applyFill="1" applyBorder="1"/>
    <xf numFmtId="17" fontId="35" fillId="2" borderId="9" xfId="1" applyNumberFormat="1" applyFont="1" applyFill="1" applyBorder="1" applyAlignment="1">
      <alignment horizontal="center"/>
    </xf>
    <xf numFmtId="17" fontId="35" fillId="2" borderId="13" xfId="1" quotePrefix="1" applyNumberFormat="1" applyFont="1" applyFill="1" applyBorder="1" applyAlignment="1">
      <alignment horizontal="center"/>
    </xf>
    <xf numFmtId="17" fontId="35" fillId="2" borderId="13" xfId="1" applyNumberFormat="1" applyFont="1" applyFill="1" applyBorder="1" applyAlignment="1">
      <alignment horizontal="center"/>
    </xf>
    <xf numFmtId="17" fontId="35" fillId="2" borderId="9" xfId="1" quotePrefix="1" applyNumberFormat="1" applyFont="1" applyFill="1" applyBorder="1" applyAlignment="1">
      <alignment horizontal="center"/>
    </xf>
    <xf numFmtId="164" fontId="35" fillId="0" borderId="10" xfId="2" applyNumberFormat="1" applyFont="1" applyBorder="1" applyAlignment="1">
      <alignment horizontal="center"/>
    </xf>
    <xf numFmtId="164" fontId="35" fillId="0" borderId="10" xfId="2" quotePrefix="1" applyNumberFormat="1" applyFont="1" applyBorder="1" applyAlignment="1">
      <alignment horizontal="center"/>
    </xf>
    <xf numFmtId="165" fontId="35" fillId="2" borderId="9" xfId="1" quotePrefix="1" applyNumberFormat="1" applyFont="1" applyFill="1" applyBorder="1" applyAlignment="1">
      <alignment horizontal="center" vertical="top"/>
    </xf>
    <xf numFmtId="164" fontId="35" fillId="0" borderId="34" xfId="2" quotePrefix="1" applyNumberFormat="1" applyFont="1" applyBorder="1" applyAlignment="1">
      <alignment horizontal="center"/>
    </xf>
    <xf numFmtId="0" fontId="42" fillId="0" borderId="9" xfId="2" applyFont="1" applyBorder="1"/>
    <xf numFmtId="1" fontId="36" fillId="2" borderId="11" xfId="1" applyNumberFormat="1" applyFont="1" applyFill="1" applyBorder="1" applyAlignment="1">
      <alignment vertical="center"/>
    </xf>
    <xf numFmtId="1" fontId="36" fillId="2" borderId="10" xfId="1" applyNumberFormat="1" applyFont="1" applyFill="1" applyBorder="1" applyAlignment="1">
      <alignment vertical="center"/>
    </xf>
    <xf numFmtId="0" fontId="36" fillId="0" borderId="11" xfId="2" applyFont="1" applyBorder="1" applyAlignment="1">
      <alignment vertical="center"/>
    </xf>
    <xf numFmtId="0" fontId="36" fillId="0" borderId="10" xfId="2" applyFont="1" applyBorder="1" applyAlignment="1">
      <alignment vertical="center"/>
    </xf>
    <xf numFmtId="0" fontId="30" fillId="2" borderId="9" xfId="1" applyFont="1" applyFill="1" applyBorder="1" applyAlignment="1">
      <alignment horizontal="center"/>
    </xf>
    <xf numFmtId="0" fontId="10" fillId="0" borderId="70" xfId="2" applyBorder="1"/>
    <xf numFmtId="1" fontId="36" fillId="2" borderId="52" xfId="1" applyNumberFormat="1" applyFont="1" applyFill="1" applyBorder="1" applyAlignment="1">
      <alignment vertical="center"/>
    </xf>
    <xf numFmtId="1" fontId="36" fillId="2" borderId="6" xfId="1" applyNumberFormat="1" applyFont="1" applyFill="1" applyBorder="1" applyAlignment="1">
      <alignment vertical="center"/>
    </xf>
    <xf numFmtId="0" fontId="36" fillId="0" borderId="52" xfId="2" applyFont="1" applyBorder="1" applyAlignment="1">
      <alignment vertical="center"/>
    </xf>
    <xf numFmtId="0" fontId="36" fillId="0" borderId="6" xfId="2" applyFont="1" applyBorder="1" applyAlignment="1">
      <alignment vertical="center"/>
    </xf>
    <xf numFmtId="0" fontId="35" fillId="0" borderId="54" xfId="2" applyFont="1" applyBorder="1" applyAlignment="1"/>
    <xf numFmtId="0" fontId="35" fillId="0" borderId="1" xfId="2" applyFont="1" applyBorder="1" applyAlignment="1">
      <alignment horizontal="center"/>
    </xf>
    <xf numFmtId="0" fontId="35" fillId="0" borderId="8" xfId="2" applyFont="1" applyBorder="1" applyAlignment="1">
      <alignment horizontal="center"/>
    </xf>
    <xf numFmtId="0" fontId="35" fillId="0" borderId="3" xfId="2" applyFont="1" applyBorder="1" applyAlignment="1"/>
    <xf numFmtId="0" fontId="35" fillId="0" borderId="1" xfId="2" applyFont="1" applyBorder="1" applyAlignment="1"/>
    <xf numFmtId="0" fontId="42" fillId="0" borderId="54" xfId="2" applyFont="1" applyBorder="1" applyAlignment="1">
      <alignment vertical="top"/>
    </xf>
    <xf numFmtId="0" fontId="2" fillId="2" borderId="0" xfId="8" applyFill="1" applyBorder="1" applyAlignment="1">
      <alignment horizontal="center"/>
    </xf>
    <xf numFmtId="0" fontId="16" fillId="2" borderId="0" xfId="8" applyFont="1" applyFill="1" applyBorder="1" applyAlignment="1">
      <alignment horizontal="center"/>
    </xf>
    <xf numFmtId="0" fontId="10" fillId="2" borderId="0" xfId="2" applyFont="1" applyFill="1"/>
    <xf numFmtId="0" fontId="10" fillId="0" borderId="0" xfId="2"/>
    <xf numFmtId="0" fontId="16" fillId="2" borderId="0" xfId="2" applyFont="1" applyFill="1"/>
    <xf numFmtId="0" fontId="38" fillId="2" borderId="0" xfId="2" applyFont="1" applyFill="1"/>
    <xf numFmtId="0" fontId="43" fillId="2" borderId="0" xfId="2" applyFont="1" applyFill="1"/>
    <xf numFmtId="0" fontId="40" fillId="3" borderId="0" xfId="2" applyFont="1" applyFill="1" applyAlignment="1"/>
    <xf numFmtId="166" fontId="45" fillId="2" borderId="0" xfId="8" applyNumberFormat="1" applyFont="1" applyFill="1" applyBorder="1" applyAlignment="1">
      <alignment horizontal="center"/>
    </xf>
    <xf numFmtId="166" fontId="40" fillId="2" borderId="0" xfId="8" applyNumberFormat="1" applyFont="1" applyFill="1" applyBorder="1" applyAlignment="1">
      <alignment horizontal="center"/>
    </xf>
    <xf numFmtId="0" fontId="40" fillId="2" borderId="0" xfId="2" applyFont="1" applyFill="1" applyAlignment="1"/>
    <xf numFmtId="1" fontId="36" fillId="2" borderId="0" xfId="1" applyNumberFormat="1" applyFont="1" applyFill="1" applyBorder="1" applyAlignment="1">
      <alignment vertical="center"/>
    </xf>
    <xf numFmtId="168" fontId="45" fillId="2" borderId="0" xfId="8" applyNumberFormat="1" applyFont="1" applyFill="1" applyBorder="1" applyAlignment="1">
      <alignment horizontal="center"/>
    </xf>
    <xf numFmtId="169" fontId="45" fillId="2" borderId="0" xfId="8" applyNumberFormat="1" applyFont="1" applyFill="1" applyBorder="1" applyAlignment="1">
      <alignment horizontal="center"/>
    </xf>
    <xf numFmtId="0" fontId="46" fillId="2" borderId="0" xfId="8" applyFont="1" applyFill="1" applyAlignment="1"/>
    <xf numFmtId="170" fontId="45" fillId="2" borderId="0" xfId="9" applyNumberFormat="1" applyFont="1" applyFill="1" applyBorder="1" applyAlignment="1">
      <alignment horizontal="center"/>
    </xf>
    <xf numFmtId="0" fontId="45" fillId="2" borderId="0" xfId="8" applyFont="1" applyFill="1" applyAlignment="1"/>
    <xf numFmtId="164" fontId="35" fillId="2" borderId="22" xfId="8" applyNumberFormat="1" applyFont="1" applyFill="1" applyBorder="1" applyAlignment="1">
      <alignment horizontal="center"/>
    </xf>
    <xf numFmtId="166" fontId="35" fillId="2" borderId="21" xfId="8" applyNumberFormat="1" applyFont="1" applyFill="1" applyBorder="1" applyAlignment="1">
      <alignment horizontal="center"/>
    </xf>
    <xf numFmtId="166" fontId="35" fillId="2" borderId="22" xfId="8" applyNumberFormat="1" applyFont="1" applyFill="1" applyBorder="1" applyAlignment="1">
      <alignment horizontal="center"/>
    </xf>
    <xf numFmtId="166" fontId="42" fillId="2" borderId="22" xfId="8" applyNumberFormat="1" applyFont="1" applyFill="1" applyBorder="1" applyAlignment="1">
      <alignment horizontal="center"/>
    </xf>
    <xf numFmtId="166" fontId="42" fillId="2" borderId="69" xfId="8" applyNumberFormat="1" applyFont="1" applyFill="1" applyBorder="1" applyAlignment="1">
      <alignment horizontal="center"/>
    </xf>
    <xf numFmtId="166" fontId="42" fillId="2" borderId="39" xfId="8" applyNumberFormat="1" applyFont="1" applyFill="1" applyBorder="1" applyAlignment="1">
      <alignment horizontal="center"/>
    </xf>
    <xf numFmtId="166" fontId="42" fillId="2" borderId="41" xfId="8" applyNumberFormat="1" applyFont="1" applyFill="1" applyBorder="1" applyAlignment="1">
      <alignment horizontal="center"/>
    </xf>
    <xf numFmtId="166" fontId="42" fillId="2" borderId="38" xfId="8" applyNumberFormat="1" applyFont="1" applyFill="1" applyBorder="1" applyAlignment="1">
      <alignment horizontal="center"/>
    </xf>
    <xf numFmtId="166" fontId="42" fillId="2" borderId="23" xfId="8" applyNumberFormat="1" applyFont="1" applyFill="1" applyBorder="1" applyAlignment="1">
      <alignment horizontal="center"/>
    </xf>
    <xf numFmtId="0" fontId="42" fillId="2" borderId="22" xfId="8" applyFont="1" applyFill="1" applyBorder="1" applyAlignment="1"/>
    <xf numFmtId="164" fontId="35" fillId="2" borderId="29" xfId="8" applyNumberFormat="1" applyFont="1" applyFill="1" applyBorder="1" applyAlignment="1">
      <alignment horizontal="center"/>
    </xf>
    <xf numFmtId="164" fontId="35" fillId="2" borderId="24" xfId="1" applyNumberFormat="1" applyFont="1" applyFill="1" applyBorder="1" applyAlignment="1">
      <alignment horizontal="center"/>
    </xf>
    <xf numFmtId="166" fontId="35" fillId="2" borderId="24" xfId="8" applyNumberFormat="1" applyFont="1" applyFill="1" applyBorder="1" applyAlignment="1">
      <alignment horizontal="center"/>
    </xf>
    <xf numFmtId="166" fontId="35" fillId="2" borderId="35" xfId="8" applyNumberFormat="1" applyFont="1" applyFill="1" applyBorder="1" applyAlignment="1">
      <alignment horizontal="center"/>
    </xf>
    <xf numFmtId="166" fontId="35" fillId="2" borderId="29" xfId="8" applyNumberFormat="1" applyFont="1" applyFill="1" applyBorder="1" applyAlignment="1">
      <alignment horizontal="center"/>
    </xf>
    <xf numFmtId="166" fontId="42" fillId="2" borderId="24" xfId="8" applyNumberFormat="1" applyFont="1" applyFill="1" applyBorder="1" applyAlignment="1">
      <alignment horizontal="center"/>
    </xf>
    <xf numFmtId="166" fontId="42" fillId="2" borderId="25" xfId="8" applyNumberFormat="1" applyFont="1" applyFill="1" applyBorder="1" applyAlignment="1">
      <alignment horizontal="center"/>
    </xf>
    <xf numFmtId="166" fontId="42" fillId="2" borderId="28" xfId="8" applyNumberFormat="1" applyFont="1" applyFill="1" applyBorder="1" applyAlignment="1">
      <alignment horizontal="center"/>
    </xf>
    <xf numFmtId="166" fontId="42" fillId="2" borderId="32" xfId="8" applyNumberFormat="1" applyFont="1" applyFill="1" applyBorder="1" applyAlignment="1">
      <alignment horizontal="center"/>
    </xf>
    <xf numFmtId="166" fontId="42" fillId="2" borderId="27" xfId="8" applyNumberFormat="1" applyFont="1" applyFill="1" applyBorder="1" applyAlignment="1">
      <alignment horizontal="center"/>
    </xf>
    <xf numFmtId="166" fontId="42" fillId="2" borderId="30" xfId="8" applyNumberFormat="1" applyFont="1" applyFill="1" applyBorder="1" applyAlignment="1">
      <alignment horizontal="center"/>
    </xf>
    <xf numFmtId="0" fontId="42" fillId="2" borderId="24" xfId="8" applyFont="1" applyFill="1" applyBorder="1" applyAlignment="1"/>
    <xf numFmtId="164" fontId="35" fillId="2" borderId="29" xfId="8" applyNumberFormat="1" applyFont="1" applyFill="1" applyBorder="1"/>
    <xf numFmtId="3" fontId="35" fillId="2" borderId="35" xfId="8" applyNumberFormat="1" applyFont="1" applyFill="1" applyBorder="1" applyAlignment="1">
      <alignment horizontal="center"/>
    </xf>
    <xf numFmtId="3" fontId="35" fillId="2" borderId="29" xfId="8" applyNumberFormat="1" applyFont="1" applyFill="1" applyBorder="1" applyAlignment="1">
      <alignment horizontal="center"/>
    </xf>
    <xf numFmtId="166" fontId="35" fillId="2" borderId="29" xfId="8" applyNumberFormat="1" applyFont="1" applyFill="1" applyBorder="1"/>
    <xf numFmtId="166" fontId="35" fillId="2" borderId="24" xfId="8" applyNumberFormat="1" applyFont="1" applyFill="1" applyBorder="1"/>
    <xf numFmtId="166" fontId="42" fillId="2" borderId="24" xfId="8" applyNumberFormat="1" applyFont="1" applyFill="1" applyBorder="1"/>
    <xf numFmtId="166" fontId="42" fillId="2" borderId="25" xfId="8" applyNumberFormat="1" applyFont="1" applyFill="1" applyBorder="1"/>
    <xf numFmtId="166" fontId="42" fillId="2" borderId="28" xfId="8" applyNumberFormat="1" applyFont="1" applyFill="1" applyBorder="1"/>
    <xf numFmtId="166" fontId="42" fillId="2" borderId="32" xfId="8" applyNumberFormat="1" applyFont="1" applyFill="1" applyBorder="1"/>
    <xf numFmtId="166" fontId="42" fillId="2" borderId="27" xfId="8" applyNumberFormat="1" applyFont="1" applyFill="1" applyBorder="1"/>
    <xf numFmtId="166" fontId="42" fillId="2" borderId="30" xfId="8" applyNumberFormat="1" applyFont="1" applyFill="1" applyBorder="1"/>
    <xf numFmtId="0" fontId="48" fillId="2" borderId="24" xfId="8" applyFont="1" applyFill="1" applyBorder="1" applyAlignment="1">
      <alignment horizontal="left"/>
    </xf>
    <xf numFmtId="3" fontId="35" fillId="2" borderId="24" xfId="8" applyNumberFormat="1" applyFont="1" applyFill="1" applyBorder="1" applyAlignment="1">
      <alignment horizontal="center"/>
    </xf>
    <xf numFmtId="0" fontId="42" fillId="2" borderId="24" xfId="8" applyFont="1" applyFill="1" applyBorder="1" applyAlignment="1">
      <alignment horizontal="left"/>
    </xf>
    <xf numFmtId="0" fontId="42" fillId="2" borderId="70" xfId="1" applyFont="1" applyFill="1" applyBorder="1"/>
    <xf numFmtId="164" fontId="35" fillId="2" borderId="45" xfId="8" applyNumberFormat="1" applyFont="1" applyFill="1" applyBorder="1"/>
    <xf numFmtId="0" fontId="35" fillId="2" borderId="45" xfId="8" applyFont="1" applyFill="1" applyBorder="1"/>
    <xf numFmtId="0" fontId="35" fillId="2" borderId="35" xfId="8" applyFont="1" applyFill="1" applyBorder="1"/>
    <xf numFmtId="0" fontId="35" fillId="2" borderId="26" xfId="8" applyFont="1" applyFill="1" applyBorder="1"/>
    <xf numFmtId="0" fontId="42" fillId="2" borderId="26" xfId="8" applyFont="1" applyFill="1" applyBorder="1"/>
    <xf numFmtId="0" fontId="42" fillId="2" borderId="5" xfId="8" applyFont="1" applyFill="1" applyBorder="1"/>
    <xf numFmtId="0" fontId="42" fillId="2" borderId="72" xfId="8" applyFont="1" applyFill="1" applyBorder="1"/>
    <xf numFmtId="0" fontId="42" fillId="2" borderId="75" xfId="8" applyFont="1" applyFill="1" applyBorder="1"/>
    <xf numFmtId="0" fontId="42" fillId="2" borderId="71" xfId="8" applyFont="1" applyFill="1" applyBorder="1"/>
    <xf numFmtId="0" fontId="42" fillId="2" borderId="4" xfId="8" applyFont="1" applyFill="1" applyBorder="1"/>
    <xf numFmtId="0" fontId="48" fillId="2" borderId="46" xfId="8" applyFont="1" applyFill="1" applyBorder="1" applyAlignment="1"/>
    <xf numFmtId="165" fontId="35" fillId="2" borderId="9" xfId="8" applyNumberFormat="1" applyFont="1" applyFill="1" applyBorder="1" applyAlignment="1">
      <alignment horizontal="center"/>
    </xf>
    <xf numFmtId="165" fontId="35" fillId="2" borderId="9" xfId="8" quotePrefix="1" applyNumberFormat="1" applyFont="1" applyFill="1" applyBorder="1" applyAlignment="1">
      <alignment horizontal="center"/>
    </xf>
    <xf numFmtId="165" fontId="35" fillId="2" borderId="13" xfId="8" applyNumberFormat="1" applyFont="1" applyFill="1" applyBorder="1" applyAlignment="1">
      <alignment horizontal="center"/>
    </xf>
    <xf numFmtId="165" fontId="35" fillId="2" borderId="8" xfId="8" applyNumberFormat="1" applyFont="1" applyFill="1" applyBorder="1" applyAlignment="1">
      <alignment horizontal="right"/>
    </xf>
    <xf numFmtId="165" fontId="42" fillId="2" borderId="9" xfId="8" applyNumberFormat="1" applyFont="1" applyFill="1" applyBorder="1" applyAlignment="1">
      <alignment horizontal="center"/>
    </xf>
    <xf numFmtId="165" fontId="42" fillId="2" borderId="9" xfId="8" quotePrefix="1" applyNumberFormat="1" applyFont="1" applyFill="1" applyBorder="1" applyAlignment="1">
      <alignment horizontal="center"/>
    </xf>
    <xf numFmtId="165" fontId="42" fillId="2" borderId="11" xfId="8" applyNumberFormat="1" applyFont="1" applyFill="1" applyBorder="1" applyAlignment="1">
      <alignment horizontal="center"/>
    </xf>
    <xf numFmtId="165" fontId="42" fillId="2" borderId="12" xfId="8" applyNumberFormat="1" applyFont="1" applyFill="1" applyBorder="1" applyAlignment="1">
      <alignment horizontal="center"/>
    </xf>
    <xf numFmtId="165" fontId="42" fillId="2" borderId="14" xfId="8" applyNumberFormat="1" applyFont="1" applyFill="1" applyBorder="1" applyAlignment="1">
      <alignment horizontal="center"/>
    </xf>
    <xf numFmtId="165" fontId="42" fillId="2" borderId="17" xfId="8" quotePrefix="1" applyNumberFormat="1" applyFont="1" applyFill="1" applyBorder="1" applyAlignment="1">
      <alignment horizontal="center"/>
    </xf>
    <xf numFmtId="165" fontId="42" fillId="2" borderId="76" xfId="8" quotePrefix="1" applyNumberFormat="1" applyFont="1" applyFill="1" applyBorder="1" applyAlignment="1">
      <alignment horizontal="center"/>
    </xf>
    <xf numFmtId="165" fontId="42" fillId="2" borderId="12" xfId="8" quotePrefix="1" applyNumberFormat="1" applyFont="1" applyFill="1" applyBorder="1" applyAlignment="1">
      <alignment horizontal="center"/>
    </xf>
    <xf numFmtId="165" fontId="42" fillId="2" borderId="3" xfId="8" quotePrefix="1" applyNumberFormat="1" applyFont="1" applyFill="1" applyBorder="1" applyAlignment="1">
      <alignment horizontal="center"/>
    </xf>
    <xf numFmtId="165" fontId="42" fillId="2" borderId="44" xfId="8" quotePrefix="1" applyNumberFormat="1" applyFont="1" applyFill="1" applyBorder="1" applyAlignment="1">
      <alignment horizontal="center"/>
    </xf>
    <xf numFmtId="0" fontId="42" fillId="2" borderId="9" xfId="8" applyFont="1" applyFill="1" applyBorder="1" applyAlignment="1"/>
    <xf numFmtId="0" fontId="35" fillId="2" borderId="11" xfId="8" applyFont="1" applyFill="1" applyBorder="1" applyAlignment="1">
      <alignment vertical="center"/>
    </xf>
    <xf numFmtId="0" fontId="35" fillId="2" borderId="10" xfId="8" applyFont="1" applyFill="1" applyBorder="1" applyAlignment="1">
      <alignment vertical="center"/>
    </xf>
    <xf numFmtId="0" fontId="42" fillId="2" borderId="11" xfId="8" applyFont="1" applyFill="1" applyBorder="1" applyAlignment="1">
      <alignment horizontal="center" vertical="center"/>
    </xf>
    <xf numFmtId="0" fontId="42" fillId="2" borderId="10" xfId="8" applyFont="1" applyFill="1" applyBorder="1" applyAlignment="1">
      <alignment horizontal="center" vertical="center"/>
    </xf>
    <xf numFmtId="0" fontId="42" fillId="2" borderId="11" xfId="8" applyFont="1" applyFill="1" applyBorder="1" applyAlignment="1">
      <alignment horizontal="center"/>
    </xf>
    <xf numFmtId="0" fontId="42" fillId="2" borderId="10" xfId="8" applyFont="1" applyFill="1" applyBorder="1" applyAlignment="1">
      <alignment horizontal="center"/>
    </xf>
    <xf numFmtId="0" fontId="42" fillId="2" borderId="0" xfId="8" applyFont="1" applyFill="1" applyBorder="1" applyAlignment="1">
      <alignment horizontal="center"/>
    </xf>
    <xf numFmtId="0" fontId="49" fillId="0" borderId="70" xfId="2" applyFont="1" applyBorder="1"/>
    <xf numFmtId="0" fontId="35" fillId="2" borderId="52" xfId="8" applyFont="1" applyFill="1" applyBorder="1" applyAlignment="1">
      <alignment vertical="center"/>
    </xf>
    <xf numFmtId="0" fontId="35" fillId="2" borderId="6" xfId="8" applyFont="1" applyFill="1" applyBorder="1" applyAlignment="1">
      <alignment vertical="center"/>
    </xf>
    <xf numFmtId="0" fontId="42" fillId="2" borderId="52" xfId="8" applyFont="1" applyFill="1" applyBorder="1" applyAlignment="1">
      <alignment horizontal="center" vertical="center"/>
    </xf>
    <xf numFmtId="0" fontId="42" fillId="2" borderId="6" xfId="8" applyFont="1" applyFill="1" applyBorder="1" applyAlignment="1">
      <alignment horizontal="center" vertical="center"/>
    </xf>
    <xf numFmtId="0" fontId="42" fillId="2" borderId="52" xfId="8" applyFont="1" applyFill="1" applyBorder="1" applyAlignment="1">
      <alignment horizontal="center"/>
    </xf>
    <xf numFmtId="0" fontId="42" fillId="2" borderId="6" xfId="8" applyFont="1" applyFill="1" applyBorder="1" applyAlignment="1">
      <alignment horizontal="center"/>
    </xf>
    <xf numFmtId="0" fontId="45" fillId="2" borderId="0" xfId="8" applyFont="1" applyFill="1" applyBorder="1" applyAlignment="1">
      <alignment horizontal="center"/>
    </xf>
    <xf numFmtId="0" fontId="47" fillId="2" borderId="54" xfId="8" applyFont="1" applyFill="1" applyBorder="1" applyAlignment="1"/>
    <xf numFmtId="0" fontId="30" fillId="3" borderId="0" xfId="1" applyFont="1" applyFill="1"/>
    <xf numFmtId="0" fontId="50" fillId="2" borderId="0" xfId="1" applyFont="1" applyFill="1" applyBorder="1" applyAlignment="1">
      <alignment horizontal="center"/>
    </xf>
    <xf numFmtId="0" fontId="42" fillId="2" borderId="0" xfId="1" applyFont="1" applyFill="1" applyBorder="1" applyAlignment="1">
      <alignment horizontal="center"/>
    </xf>
    <xf numFmtId="0" fontId="32" fillId="2" borderId="0" xfId="1" applyFont="1" applyFill="1"/>
    <xf numFmtId="0" fontId="44" fillId="3" borderId="0" xfId="8" applyFont="1" applyFill="1" applyBorder="1" applyAlignment="1"/>
    <xf numFmtId="0" fontId="50" fillId="2" borderId="0" xfId="1" applyFont="1" applyFill="1" applyBorder="1"/>
    <xf numFmtId="164" fontId="51" fillId="2" borderId="0" xfId="1" applyNumberFormat="1" applyFont="1" applyFill="1" applyBorder="1" applyAlignment="1">
      <alignment horizontal="center"/>
    </xf>
    <xf numFmtId="164" fontId="40" fillId="2" borderId="0" xfId="1" applyNumberFormat="1" applyFont="1" applyFill="1" applyBorder="1" applyAlignment="1">
      <alignment horizontal="center"/>
    </xf>
    <xf numFmtId="0" fontId="40" fillId="2" borderId="0" xfId="1" applyFont="1" applyFill="1" applyBorder="1"/>
    <xf numFmtId="0" fontId="44" fillId="2" borderId="0" xfId="8" applyFont="1" applyFill="1" applyBorder="1" applyAlignment="1"/>
    <xf numFmtId="168" fontId="50" fillId="2" borderId="0" xfId="1" applyNumberFormat="1" applyFont="1" applyFill="1" applyBorder="1"/>
    <xf numFmtId="168" fontId="31" fillId="2" borderId="0" xfId="1" applyNumberFormat="1" applyFont="1" applyFill="1" applyBorder="1"/>
    <xf numFmtId="168" fontId="51" fillId="2" borderId="0" xfId="1" applyNumberFormat="1" applyFont="1" applyFill="1" applyBorder="1" applyAlignment="1">
      <alignment horizontal="center"/>
    </xf>
    <xf numFmtId="3" fontId="51" fillId="2" borderId="0" xfId="1" applyNumberFormat="1" applyFont="1" applyFill="1" applyBorder="1" applyAlignment="1">
      <alignment horizontal="center"/>
    </xf>
    <xf numFmtId="0" fontId="51" fillId="2" borderId="0" xfId="1" applyFont="1" applyFill="1" applyBorder="1"/>
    <xf numFmtId="0" fontId="51" fillId="2" borderId="0" xfId="1" applyFont="1" applyFill="1"/>
    <xf numFmtId="164" fontId="35" fillId="2" borderId="0" xfId="1" applyNumberFormat="1" applyFont="1" applyFill="1" applyBorder="1" applyAlignment="1">
      <alignment horizontal="center"/>
    </xf>
    <xf numFmtId="0" fontId="31" fillId="2" borderId="0" xfId="1" applyFont="1" applyFill="1"/>
    <xf numFmtId="164" fontId="35" fillId="2" borderId="22" xfId="1" applyNumberFormat="1" applyFont="1" applyFill="1" applyBorder="1" applyAlignment="1">
      <alignment horizontal="center"/>
    </xf>
    <xf numFmtId="164" fontId="35" fillId="2" borderId="21" xfId="1" applyNumberFormat="1" applyFont="1" applyFill="1" applyBorder="1" applyAlignment="1">
      <alignment horizontal="center"/>
    </xf>
    <xf numFmtId="164" fontId="35" fillId="2" borderId="13" xfId="1" applyNumberFormat="1" applyFont="1" applyFill="1" applyBorder="1" applyAlignment="1">
      <alignment horizontal="center"/>
    </xf>
    <xf numFmtId="164" fontId="42" fillId="2" borderId="21" xfId="1" applyNumberFormat="1" applyFont="1" applyFill="1" applyBorder="1" applyAlignment="1">
      <alignment horizontal="center"/>
    </xf>
    <xf numFmtId="164" fontId="42" fillId="2" borderId="22" xfId="1" applyNumberFormat="1" applyFont="1" applyFill="1" applyBorder="1" applyAlignment="1">
      <alignment horizontal="center"/>
    </xf>
    <xf numFmtId="164" fontId="42" fillId="2" borderId="23" xfId="1" applyNumberFormat="1" applyFont="1" applyFill="1" applyBorder="1" applyAlignment="1">
      <alignment horizontal="center"/>
    </xf>
    <xf numFmtId="0" fontId="42" fillId="2" borderId="22" xfId="1" applyFont="1" applyFill="1" applyBorder="1" applyAlignment="1">
      <alignment horizontal="left"/>
    </xf>
    <xf numFmtId="164" fontId="35" fillId="2" borderId="35" xfId="1" applyNumberFormat="1" applyFont="1" applyFill="1" applyBorder="1" applyAlignment="1">
      <alignment horizontal="center"/>
    </xf>
    <xf numFmtId="164" fontId="35" fillId="2" borderId="29" xfId="1" applyNumberFormat="1" applyFont="1" applyFill="1" applyBorder="1" applyAlignment="1">
      <alignment horizontal="center"/>
    </xf>
    <xf numFmtId="164" fontId="42" fillId="2" borderId="29" xfId="1" applyNumberFormat="1" applyFont="1" applyFill="1" applyBorder="1" applyAlignment="1">
      <alignment horizontal="center"/>
    </xf>
    <xf numFmtId="164" fontId="42" fillId="2" borderId="24" xfId="1" applyNumberFormat="1" applyFont="1" applyFill="1" applyBorder="1" applyAlignment="1">
      <alignment horizontal="center"/>
    </xf>
    <xf numFmtId="164" fontId="42" fillId="2" borderId="30" xfId="1" applyNumberFormat="1" applyFont="1" applyFill="1" applyBorder="1" applyAlignment="1">
      <alignment horizontal="center"/>
    </xf>
    <xf numFmtId="0" fontId="42" fillId="2" borderId="24" xfId="1" applyFont="1" applyFill="1" applyBorder="1" applyAlignment="1">
      <alignment horizontal="left"/>
    </xf>
    <xf numFmtId="0" fontId="48" fillId="2" borderId="24" xfId="1" applyFont="1" applyFill="1" applyBorder="1" applyAlignment="1"/>
    <xf numFmtId="164" fontId="35" fillId="2" borderId="46" xfId="1" applyNumberFormat="1" applyFont="1" applyFill="1" applyBorder="1" applyAlignment="1">
      <alignment horizontal="center"/>
    </xf>
    <xf numFmtId="164" fontId="42" fillId="2" borderId="35" xfId="1" applyNumberFormat="1" applyFont="1" applyFill="1" applyBorder="1" applyAlignment="1">
      <alignment horizontal="center"/>
    </xf>
    <xf numFmtId="164" fontId="42" fillId="2" borderId="45" xfId="1" applyNumberFormat="1" applyFont="1" applyFill="1" applyBorder="1" applyAlignment="1">
      <alignment horizontal="center"/>
    </xf>
    <xf numFmtId="164" fontId="42" fillId="2" borderId="26" xfId="1" applyNumberFormat="1" applyFont="1" applyFill="1" applyBorder="1" applyAlignment="1">
      <alignment horizontal="center"/>
    </xf>
    <xf numFmtId="164" fontId="42" fillId="2" borderId="4" xfId="1" applyNumberFormat="1" applyFont="1" applyFill="1" applyBorder="1" applyAlignment="1">
      <alignment horizontal="center"/>
    </xf>
    <xf numFmtId="0" fontId="48" fillId="2" borderId="26" xfId="1" applyFont="1" applyFill="1" applyBorder="1" applyAlignment="1"/>
    <xf numFmtId="164" fontId="35" fillId="2" borderId="23" xfId="1" applyNumberFormat="1" applyFont="1" applyFill="1" applyBorder="1" applyAlignment="1">
      <alignment horizontal="center"/>
    </xf>
    <xf numFmtId="0" fontId="42" fillId="2" borderId="24" xfId="1" applyFont="1" applyFill="1" applyBorder="1" applyAlignment="1"/>
    <xf numFmtId="164" fontId="35" fillId="2" borderId="30" xfId="1" applyNumberFormat="1" applyFont="1" applyFill="1" applyBorder="1" applyAlignment="1">
      <alignment horizontal="center"/>
    </xf>
    <xf numFmtId="17" fontId="35" fillId="2" borderId="9" xfId="1" applyNumberFormat="1" applyFont="1" applyFill="1" applyBorder="1" applyAlignment="1">
      <alignment horizontal="center" vertical="top"/>
    </xf>
    <xf numFmtId="17" fontId="35" fillId="2" borderId="9" xfId="1" quotePrefix="1" applyNumberFormat="1" applyFont="1" applyFill="1" applyBorder="1" applyAlignment="1">
      <alignment horizontal="center" vertical="top"/>
    </xf>
    <xf numFmtId="165" fontId="35" fillId="2" borderId="10" xfId="1" applyNumberFormat="1" applyFont="1" applyFill="1" applyBorder="1" applyAlignment="1">
      <alignment horizontal="center" vertical="top"/>
    </xf>
    <xf numFmtId="165" fontId="35" fillId="2" borderId="9" xfId="1" applyNumberFormat="1" applyFont="1" applyFill="1" applyBorder="1" applyAlignment="1">
      <alignment horizontal="center" vertical="top"/>
    </xf>
    <xf numFmtId="165" fontId="35" fillId="2" borderId="10" xfId="1" quotePrefix="1" applyNumberFormat="1" applyFont="1" applyFill="1" applyBorder="1" applyAlignment="1">
      <alignment horizontal="center" vertical="top"/>
    </xf>
    <xf numFmtId="165" fontId="35" fillId="2" borderId="13" xfId="1" applyNumberFormat="1" applyFont="1" applyFill="1" applyBorder="1" applyAlignment="1">
      <alignment horizontal="center" vertical="top"/>
    </xf>
    <xf numFmtId="165" fontId="42" fillId="2" borderId="13" xfId="1" applyNumberFormat="1" applyFont="1" applyFill="1" applyBorder="1" applyAlignment="1">
      <alignment horizontal="center" vertical="top"/>
    </xf>
    <xf numFmtId="165" fontId="42" fillId="2" borderId="13" xfId="1" quotePrefix="1" applyNumberFormat="1" applyFont="1" applyFill="1" applyBorder="1" applyAlignment="1">
      <alignment horizontal="center" vertical="top"/>
    </xf>
    <xf numFmtId="165" fontId="42" fillId="2" borderId="9" xfId="1" applyNumberFormat="1" applyFont="1" applyFill="1" applyBorder="1" applyAlignment="1">
      <alignment horizontal="center" vertical="top"/>
    </xf>
    <xf numFmtId="165" fontId="42" fillId="2" borderId="9" xfId="1" quotePrefix="1" applyNumberFormat="1" applyFont="1" applyFill="1" applyBorder="1" applyAlignment="1">
      <alignment horizontal="center" vertical="top"/>
    </xf>
    <xf numFmtId="165" fontId="42" fillId="2" borderId="10" xfId="1" quotePrefix="1" applyNumberFormat="1" applyFont="1" applyFill="1" applyBorder="1" applyAlignment="1">
      <alignment horizontal="center" vertical="top"/>
    </xf>
    <xf numFmtId="0" fontId="48" fillId="2" borderId="46" xfId="1" applyFont="1" applyFill="1" applyBorder="1" applyAlignment="1">
      <alignment horizontal="left"/>
    </xf>
    <xf numFmtId="0" fontId="36" fillId="2" borderId="11" xfId="1" applyFont="1" applyFill="1" applyBorder="1" applyAlignment="1">
      <alignment vertical="center"/>
    </xf>
    <xf numFmtId="0" fontId="35" fillId="2" borderId="11" xfId="1" applyFont="1" applyFill="1" applyBorder="1" applyAlignment="1">
      <alignment vertical="center"/>
    </xf>
    <xf numFmtId="0" fontId="42" fillId="2" borderId="11" xfId="1" applyFont="1" applyFill="1" applyBorder="1" applyAlignment="1">
      <alignment vertical="center" wrapText="1"/>
    </xf>
    <xf numFmtId="0" fontId="42" fillId="2" borderId="10" xfId="1" applyFont="1" applyFill="1" applyBorder="1" applyAlignment="1">
      <alignment vertical="center" wrapText="1"/>
    </xf>
    <xf numFmtId="0" fontId="42" fillId="2" borderId="13" xfId="1" applyFont="1" applyFill="1" applyBorder="1" applyAlignment="1">
      <alignment horizontal="center"/>
    </xf>
    <xf numFmtId="0" fontId="42" fillId="2" borderId="11" xfId="1" applyFont="1" applyFill="1" applyBorder="1" applyAlignment="1">
      <alignment horizontal="center"/>
    </xf>
    <xf numFmtId="0" fontId="42" fillId="2" borderId="10" xfId="1" applyFont="1" applyFill="1" applyBorder="1" applyAlignment="1">
      <alignment horizontal="center"/>
    </xf>
    <xf numFmtId="0" fontId="42" fillId="2" borderId="11" xfId="1" applyFont="1" applyFill="1" applyBorder="1"/>
    <xf numFmtId="0" fontId="42" fillId="2" borderId="9" xfId="1" applyFont="1" applyFill="1" applyBorder="1"/>
    <xf numFmtId="0" fontId="36" fillId="2" borderId="52" xfId="1" applyFont="1" applyFill="1" applyBorder="1" applyAlignment="1">
      <alignment vertical="center"/>
    </xf>
    <xf numFmtId="0" fontId="35" fillId="2" borderId="52" xfId="1" applyFont="1" applyFill="1" applyBorder="1" applyAlignment="1">
      <alignment vertical="center"/>
    </xf>
    <xf numFmtId="0" fontId="42" fillId="2" borderId="52" xfId="1" applyFont="1" applyFill="1" applyBorder="1" applyAlignment="1">
      <alignment vertical="center" wrapText="1"/>
    </xf>
    <xf numFmtId="0" fontId="42" fillId="2" borderId="6" xfId="1" applyFont="1" applyFill="1" applyBorder="1" applyAlignment="1">
      <alignment vertical="center" wrapText="1"/>
    </xf>
    <xf numFmtId="0" fontId="42" fillId="2" borderId="52" xfId="1" applyFont="1" applyFill="1" applyBorder="1"/>
    <xf numFmtId="0" fontId="42" fillId="2" borderId="54" xfId="1" applyFont="1" applyFill="1" applyBorder="1"/>
    <xf numFmtId="0" fontId="32" fillId="3" borderId="0" xfId="1" applyFont="1" applyFill="1"/>
    <xf numFmtId="0" fontId="50" fillId="2" borderId="0" xfId="1" applyFont="1" applyFill="1"/>
    <xf numFmtId="0" fontId="42" fillId="2" borderId="0" xfId="1" applyFont="1" applyFill="1" applyAlignment="1">
      <alignment horizontal="center"/>
    </xf>
    <xf numFmtId="0" fontId="44" fillId="3" borderId="0" xfId="1" applyFont="1" applyFill="1" applyBorder="1" applyAlignment="1">
      <alignment horizontal="left"/>
    </xf>
    <xf numFmtId="164" fontId="42" fillId="2" borderId="0" xfId="1" applyNumberFormat="1" applyFont="1" applyFill="1" applyBorder="1" applyAlignment="1">
      <alignment horizontal="center"/>
    </xf>
    <xf numFmtId="0" fontId="44" fillId="2" borderId="0" xfId="1" applyFont="1" applyFill="1" applyBorder="1" applyAlignment="1">
      <alignment horizontal="left"/>
    </xf>
    <xf numFmtId="164" fontId="53" fillId="2" borderId="0" xfId="1" applyNumberFormat="1" applyFont="1" applyFill="1" applyBorder="1" applyAlignment="1">
      <alignment horizontal="center"/>
    </xf>
    <xf numFmtId="164" fontId="45" fillId="2" borderId="0" xfId="1" applyNumberFormat="1" applyFont="1" applyFill="1" applyBorder="1" applyAlignment="1">
      <alignment horizontal="center"/>
    </xf>
    <xf numFmtId="0" fontId="51" fillId="2" borderId="0" xfId="1" applyFont="1" applyFill="1" applyBorder="1" applyAlignment="1">
      <alignment vertical="top"/>
    </xf>
    <xf numFmtId="164" fontId="35" fillId="2" borderId="69" xfId="1" applyNumberFormat="1" applyFont="1" applyFill="1" applyBorder="1" applyAlignment="1">
      <alignment horizontal="center"/>
    </xf>
    <xf numFmtId="164" fontId="35" fillId="2" borderId="38" xfId="1" applyNumberFormat="1" applyFont="1" applyFill="1" applyBorder="1" applyAlignment="1">
      <alignment horizontal="center"/>
    </xf>
    <xf numFmtId="164" fontId="35" fillId="2" borderId="40" xfId="1" applyNumberFormat="1" applyFont="1" applyFill="1" applyBorder="1" applyAlignment="1">
      <alignment horizontal="center"/>
    </xf>
    <xf numFmtId="164" fontId="50" fillId="2" borderId="40" xfId="1" applyNumberFormat="1" applyFont="1" applyFill="1" applyBorder="1" applyAlignment="1">
      <alignment horizontal="center"/>
    </xf>
    <xf numFmtId="164" fontId="50" fillId="2" borderId="41" xfId="1" applyNumberFormat="1" applyFont="1" applyFill="1" applyBorder="1" applyAlignment="1">
      <alignment horizontal="center"/>
    </xf>
    <xf numFmtId="164" fontId="50" fillId="2" borderId="21" xfId="1" applyNumberFormat="1" applyFont="1" applyFill="1" applyBorder="1" applyAlignment="1">
      <alignment horizontal="center"/>
    </xf>
    <xf numFmtId="164" fontId="50" fillId="2" borderId="39" xfId="1" applyNumberFormat="1" applyFont="1" applyFill="1" applyBorder="1" applyAlignment="1">
      <alignment horizontal="center"/>
    </xf>
    <xf numFmtId="164" fontId="50" fillId="2" borderId="38" xfId="1" applyNumberFormat="1" applyFont="1" applyFill="1" applyBorder="1" applyAlignment="1">
      <alignment horizontal="center"/>
    </xf>
    <xf numFmtId="164" fontId="50" fillId="2" borderId="57" xfId="1" applyNumberFormat="1" applyFont="1" applyFill="1" applyBorder="1" applyAlignment="1">
      <alignment horizontal="center"/>
    </xf>
    <xf numFmtId="164" fontId="50" fillId="2" borderId="22" xfId="1" applyNumberFormat="1" applyFont="1" applyFill="1" applyBorder="1" applyAlignment="1">
      <alignment horizontal="center"/>
    </xf>
    <xf numFmtId="0" fontId="5" fillId="3" borderId="0" xfId="1" applyFont="1" applyFill="1" applyAlignment="1">
      <alignment horizontal="center"/>
    </xf>
    <xf numFmtId="164" fontId="36" fillId="2" borderId="24" xfId="1" applyNumberFormat="1" applyFont="1" applyFill="1" applyBorder="1" applyAlignment="1">
      <alignment horizontal="center"/>
    </xf>
    <xf numFmtId="164" fontId="36" fillId="2" borderId="37" xfId="1" applyNumberFormat="1" applyFont="1" applyFill="1" applyBorder="1" applyAlignment="1">
      <alignment horizontal="center"/>
    </xf>
    <xf numFmtId="164" fontId="36" fillId="2" borderId="60" xfId="1" applyNumberFormat="1" applyFont="1" applyFill="1" applyBorder="1" applyAlignment="1">
      <alignment horizontal="center"/>
    </xf>
    <xf numFmtId="164" fontId="36" fillId="2" borderId="58" xfId="1" applyNumberFormat="1" applyFont="1" applyFill="1" applyBorder="1" applyAlignment="1">
      <alignment horizontal="center"/>
    </xf>
    <xf numFmtId="164" fontId="36" fillId="2" borderId="65" xfId="1" applyNumberFormat="1" applyFont="1" applyFill="1" applyBorder="1" applyAlignment="1">
      <alignment horizontal="center"/>
    </xf>
    <xf numFmtId="164" fontId="36" fillId="2" borderId="66" xfId="1" applyNumberFormat="1" applyFont="1" applyFill="1" applyBorder="1" applyAlignment="1">
      <alignment horizontal="center"/>
    </xf>
    <xf numFmtId="164" fontId="51" fillId="2" borderId="66" xfId="1" applyNumberFormat="1" applyFont="1" applyFill="1" applyBorder="1" applyAlignment="1">
      <alignment horizontal="center"/>
    </xf>
    <xf numFmtId="164" fontId="51" fillId="2" borderId="67" xfId="1" applyNumberFormat="1" applyFont="1" applyFill="1" applyBorder="1" applyAlignment="1">
      <alignment horizontal="center"/>
    </xf>
    <xf numFmtId="164" fontId="51" fillId="2" borderId="36" xfId="1" applyNumberFormat="1" applyFont="1" applyFill="1" applyBorder="1" applyAlignment="1">
      <alignment horizontal="center"/>
    </xf>
    <xf numFmtId="164" fontId="51" fillId="2" borderId="59" xfId="1" applyNumberFormat="1" applyFont="1" applyFill="1" applyBorder="1" applyAlignment="1">
      <alignment horizontal="center"/>
    </xf>
    <xf numFmtId="164" fontId="51" fillId="2" borderId="65" xfId="1" applyNumberFormat="1" applyFont="1" applyFill="1" applyBorder="1" applyAlignment="1">
      <alignment horizontal="center"/>
    </xf>
    <xf numFmtId="164" fontId="51" fillId="2" borderId="77" xfId="1" applyNumberFormat="1" applyFont="1" applyFill="1" applyBorder="1" applyAlignment="1">
      <alignment horizontal="center"/>
    </xf>
    <xf numFmtId="164" fontId="51" fillId="2" borderId="32" xfId="1" applyNumberFormat="1" applyFont="1" applyFill="1" applyBorder="1" applyAlignment="1">
      <alignment horizontal="center"/>
    </xf>
    <xf numFmtId="164" fontId="51" fillId="2" borderId="24" xfId="1" applyNumberFormat="1" applyFont="1" applyFill="1" applyBorder="1" applyAlignment="1">
      <alignment horizontal="center"/>
    </xf>
    <xf numFmtId="164" fontId="51" fillId="2" borderId="25" xfId="1" applyNumberFormat="1" applyFont="1" applyFill="1" applyBorder="1" applyAlignment="1">
      <alignment horizontal="center"/>
    </xf>
    <xf numFmtId="0" fontId="45" fillId="2" borderId="37" xfId="1" applyFont="1" applyFill="1" applyBorder="1" applyAlignment="1">
      <alignment horizontal="left"/>
    </xf>
    <xf numFmtId="164" fontId="35" fillId="2" borderId="54" xfId="1" applyNumberFormat="1" applyFont="1" applyFill="1" applyBorder="1" applyAlignment="1">
      <alignment horizontal="center"/>
    </xf>
    <xf numFmtId="164" fontId="35" fillId="2" borderId="70" xfId="1" applyNumberFormat="1" applyFont="1" applyFill="1" applyBorder="1" applyAlignment="1">
      <alignment horizontal="center"/>
    </xf>
    <xf numFmtId="164" fontId="35" fillId="2" borderId="6" xfId="1" applyNumberFormat="1" applyFont="1" applyFill="1" applyBorder="1" applyAlignment="1">
      <alignment horizontal="center"/>
    </xf>
    <xf numFmtId="164" fontId="35" fillId="2" borderId="74" xfId="1" applyNumberFormat="1" applyFont="1" applyFill="1" applyBorder="1" applyAlignment="1">
      <alignment horizontal="center"/>
    </xf>
    <xf numFmtId="164" fontId="35" fillId="2" borderId="52" xfId="1" applyNumberFormat="1" applyFont="1" applyFill="1" applyBorder="1" applyAlignment="1">
      <alignment horizontal="center"/>
    </xf>
    <xf numFmtId="164" fontId="35" fillId="2" borderId="61" xfId="1" applyNumberFormat="1" applyFont="1" applyFill="1" applyBorder="1" applyAlignment="1">
      <alignment horizontal="center"/>
    </xf>
    <xf numFmtId="164" fontId="50" fillId="2" borderId="61" xfId="1" applyNumberFormat="1" applyFont="1" applyFill="1" applyBorder="1" applyAlignment="1">
      <alignment horizontal="center"/>
    </xf>
    <xf numFmtId="164" fontId="50" fillId="2" borderId="19" xfId="1" applyNumberFormat="1" applyFont="1" applyFill="1" applyBorder="1" applyAlignment="1">
      <alignment horizontal="center"/>
    </xf>
    <xf numFmtId="164" fontId="50" fillId="2" borderId="7" xfId="1" applyNumberFormat="1" applyFont="1" applyFill="1" applyBorder="1" applyAlignment="1">
      <alignment horizontal="center"/>
    </xf>
    <xf numFmtId="164" fontId="50" fillId="2" borderId="53" xfId="1" applyNumberFormat="1" applyFont="1" applyFill="1" applyBorder="1" applyAlignment="1">
      <alignment horizontal="center"/>
    </xf>
    <xf numFmtId="164" fontId="50" fillId="2" borderId="52" xfId="1" applyNumberFormat="1" applyFont="1" applyFill="1" applyBorder="1" applyAlignment="1">
      <alignment horizontal="center"/>
    </xf>
    <xf numFmtId="164" fontId="50" fillId="2" borderId="20" xfId="1" applyNumberFormat="1" applyFont="1" applyFill="1" applyBorder="1" applyAlignment="1">
      <alignment horizontal="center"/>
    </xf>
    <xf numFmtId="164" fontId="50" fillId="2" borderId="75" xfId="1" applyNumberFormat="1" applyFont="1" applyFill="1" applyBorder="1" applyAlignment="1">
      <alignment horizontal="center"/>
    </xf>
    <xf numFmtId="164" fontId="50" fillId="2" borderId="26" xfId="1" applyNumberFormat="1" applyFont="1" applyFill="1" applyBorder="1" applyAlignment="1">
      <alignment horizontal="center"/>
    </xf>
    <xf numFmtId="164" fontId="50" fillId="2" borderId="5" xfId="1" applyNumberFormat="1" applyFont="1" applyFill="1" applyBorder="1" applyAlignment="1">
      <alignment horizontal="center"/>
    </xf>
    <xf numFmtId="0" fontId="45" fillId="0" borderId="54" xfId="1" quotePrefix="1" applyFont="1" applyFill="1" applyBorder="1" applyAlignment="1">
      <alignment horizontal="left"/>
    </xf>
    <xf numFmtId="164" fontId="35" fillId="2" borderId="27" xfId="1" applyNumberFormat="1" applyFont="1" applyFill="1" applyBorder="1" applyAlignment="1">
      <alignment horizontal="center"/>
    </xf>
    <xf numFmtId="164" fontId="35" fillId="2" borderId="33" xfId="1" applyNumberFormat="1" applyFont="1" applyFill="1" applyBorder="1" applyAlignment="1">
      <alignment horizontal="center"/>
    </xf>
    <xf numFmtId="164" fontId="50" fillId="2" borderId="33" xfId="1" applyNumberFormat="1" applyFont="1" applyFill="1" applyBorder="1" applyAlignment="1">
      <alignment horizontal="center"/>
    </xf>
    <xf numFmtId="164" fontId="50" fillId="2" borderId="32" xfId="1" applyNumberFormat="1" applyFont="1" applyFill="1" applyBorder="1" applyAlignment="1">
      <alignment horizontal="center"/>
    </xf>
    <xf numFmtId="164" fontId="50" fillId="2" borderId="29" xfId="1" applyNumberFormat="1" applyFont="1" applyFill="1" applyBorder="1" applyAlignment="1">
      <alignment horizontal="center"/>
    </xf>
    <xf numFmtId="164" fontId="50" fillId="2" borderId="28" xfId="1" applyNumberFormat="1" applyFont="1" applyFill="1" applyBorder="1" applyAlignment="1">
      <alignment horizontal="center"/>
    </xf>
    <xf numFmtId="164" fontId="50" fillId="2" borderId="25" xfId="1" applyNumberFormat="1" applyFont="1" applyFill="1" applyBorder="1" applyAlignment="1">
      <alignment horizontal="center"/>
    </xf>
    <xf numFmtId="164" fontId="50" fillId="2" borderId="78" xfId="1" applyNumberFormat="1" applyFont="1" applyFill="1" applyBorder="1" applyAlignment="1">
      <alignment horizontal="center"/>
    </xf>
    <xf numFmtId="164" fontId="50" fillId="2" borderId="50" xfId="1" applyNumberFormat="1" applyFont="1" applyFill="1" applyBorder="1" applyAlignment="1">
      <alignment horizontal="center"/>
    </xf>
    <xf numFmtId="164" fontId="50" fillId="2" borderId="70" xfId="1" applyNumberFormat="1" applyFont="1" applyFill="1" applyBorder="1" applyAlignment="1">
      <alignment horizontal="center"/>
    </xf>
    <xf numFmtId="164" fontId="50" fillId="2" borderId="0" xfId="1" applyNumberFormat="1" applyFont="1" applyFill="1" applyBorder="1" applyAlignment="1">
      <alignment horizontal="center"/>
    </xf>
    <xf numFmtId="0" fontId="42" fillId="2" borderId="46" xfId="1" applyFont="1" applyFill="1" applyBorder="1" applyAlignment="1">
      <alignment horizontal="left"/>
    </xf>
    <xf numFmtId="0" fontId="30" fillId="0" borderId="0" xfId="1" applyFont="1" applyFill="1"/>
    <xf numFmtId="164" fontId="36" fillId="0" borderId="9" xfId="1" applyNumberFormat="1" applyFont="1" applyFill="1" applyBorder="1" applyAlignment="1">
      <alignment horizontal="center"/>
    </xf>
    <xf numFmtId="164" fontId="36" fillId="0" borderId="22" xfId="1" applyNumberFormat="1" applyFont="1" applyFill="1" applyBorder="1" applyAlignment="1">
      <alignment horizontal="center"/>
    </xf>
    <xf numFmtId="164" fontId="36" fillId="0" borderId="23" xfId="1" applyNumberFormat="1" applyFont="1" applyFill="1" applyBorder="1" applyAlignment="1">
      <alignment horizontal="center"/>
    </xf>
    <xf numFmtId="164" fontId="36" fillId="0" borderId="69" xfId="1" applyNumberFormat="1" applyFont="1" applyFill="1" applyBorder="1" applyAlignment="1">
      <alignment horizontal="center"/>
    </xf>
    <xf numFmtId="164" fontId="36" fillId="0" borderId="40" xfId="1" applyNumberFormat="1" applyFont="1" applyFill="1" applyBorder="1" applyAlignment="1">
      <alignment horizontal="center"/>
    </xf>
    <xf numFmtId="164" fontId="51" fillId="0" borderId="40" xfId="1" applyNumberFormat="1" applyFont="1" applyFill="1" applyBorder="1" applyAlignment="1">
      <alignment horizontal="center"/>
    </xf>
    <xf numFmtId="164" fontId="51" fillId="0" borderId="41" xfId="1" applyNumberFormat="1" applyFont="1" applyFill="1" applyBorder="1" applyAlignment="1">
      <alignment horizontal="center"/>
    </xf>
    <xf numFmtId="164" fontId="51" fillId="0" borderId="21" xfId="1" applyNumberFormat="1" applyFont="1" applyFill="1" applyBorder="1" applyAlignment="1">
      <alignment horizontal="center"/>
    </xf>
    <xf numFmtId="164" fontId="51" fillId="0" borderId="39" xfId="1" applyNumberFormat="1" applyFont="1" applyFill="1" applyBorder="1" applyAlignment="1">
      <alignment horizontal="center"/>
    </xf>
    <xf numFmtId="164" fontId="51" fillId="0" borderId="38" xfId="1" applyNumberFormat="1" applyFont="1" applyFill="1" applyBorder="1" applyAlignment="1">
      <alignment horizontal="center"/>
    </xf>
    <xf numFmtId="164" fontId="51" fillId="0" borderId="65" xfId="1" applyNumberFormat="1" applyFont="1" applyFill="1" applyBorder="1" applyAlignment="1">
      <alignment horizontal="center"/>
    </xf>
    <xf numFmtId="164" fontId="51" fillId="0" borderId="59" xfId="1" applyNumberFormat="1" applyFont="1" applyFill="1" applyBorder="1" applyAlignment="1">
      <alignment horizontal="center"/>
    </xf>
    <xf numFmtId="164" fontId="51" fillId="0" borderId="66" xfId="1" applyNumberFormat="1" applyFont="1" applyFill="1" applyBorder="1" applyAlignment="1">
      <alignment horizontal="center"/>
    </xf>
    <xf numFmtId="164" fontId="51" fillId="0" borderId="77" xfId="1" applyNumberFormat="1" applyFont="1" applyFill="1" applyBorder="1" applyAlignment="1">
      <alignment horizontal="center"/>
    </xf>
    <xf numFmtId="164" fontId="51" fillId="0" borderId="67" xfId="1" applyNumberFormat="1" applyFont="1" applyFill="1" applyBorder="1" applyAlignment="1">
      <alignment horizontal="center"/>
    </xf>
    <xf numFmtId="164" fontId="51" fillId="0" borderId="69" xfId="1" applyNumberFormat="1" applyFont="1" applyFill="1" applyBorder="1" applyAlignment="1">
      <alignment horizontal="center"/>
    </xf>
    <xf numFmtId="0" fontId="45" fillId="0" borderId="22" xfId="1" quotePrefix="1" applyFont="1" applyFill="1" applyBorder="1" applyAlignment="1">
      <alignment horizontal="left"/>
    </xf>
    <xf numFmtId="164" fontId="36" fillId="0" borderId="26" xfId="1" applyNumberFormat="1" applyFont="1" applyFill="1" applyBorder="1" applyAlignment="1">
      <alignment horizontal="center"/>
    </xf>
    <xf numFmtId="164" fontId="36" fillId="0" borderId="4" xfId="1" applyNumberFormat="1" applyFont="1" applyFill="1" applyBorder="1" applyAlignment="1">
      <alignment horizontal="center"/>
    </xf>
    <xf numFmtId="164" fontId="36" fillId="0" borderId="71" xfId="1" applyNumberFormat="1" applyFont="1" applyFill="1" applyBorder="1" applyAlignment="1">
      <alignment horizontal="center"/>
    </xf>
    <xf numFmtId="164" fontId="36" fillId="0" borderId="75" xfId="1" applyNumberFormat="1" applyFont="1" applyFill="1" applyBorder="1" applyAlignment="1">
      <alignment horizontal="center"/>
    </xf>
    <xf numFmtId="164" fontId="51" fillId="0" borderId="75" xfId="1" applyNumberFormat="1" applyFont="1" applyFill="1" applyBorder="1" applyAlignment="1">
      <alignment horizontal="center"/>
    </xf>
    <xf numFmtId="164" fontId="51" fillId="0" borderId="79" xfId="1" applyNumberFormat="1" applyFont="1" applyFill="1" applyBorder="1" applyAlignment="1">
      <alignment horizontal="center"/>
    </xf>
    <xf numFmtId="164" fontId="51" fillId="0" borderId="72" xfId="1" applyNumberFormat="1" applyFont="1" applyFill="1" applyBorder="1" applyAlignment="1">
      <alignment horizontal="center"/>
    </xf>
    <xf numFmtId="164" fontId="51" fillId="0" borderId="71" xfId="1" applyNumberFormat="1" applyFont="1" applyFill="1" applyBorder="1" applyAlignment="1">
      <alignment horizontal="center"/>
    </xf>
    <xf numFmtId="164" fontId="51" fillId="0" borderId="5" xfId="1" applyNumberFormat="1" applyFont="1" applyFill="1" applyBorder="1" applyAlignment="1">
      <alignment horizontal="center"/>
    </xf>
    <xf numFmtId="164" fontId="51" fillId="0" borderId="31" xfId="1" applyNumberFormat="1" applyFont="1" applyFill="1" applyBorder="1" applyAlignment="1">
      <alignment horizontal="center"/>
    </xf>
    <xf numFmtId="0" fontId="45" fillId="0" borderId="26" xfId="1" applyFont="1" applyFill="1" applyBorder="1" applyAlignment="1">
      <alignment horizontal="left"/>
    </xf>
    <xf numFmtId="164" fontId="35" fillId="2" borderId="37" xfId="1" applyNumberFormat="1" applyFont="1" applyFill="1" applyBorder="1" applyAlignment="1">
      <alignment horizontal="center"/>
    </xf>
    <xf numFmtId="164" fontId="50" fillId="2" borderId="49" xfId="1" applyNumberFormat="1" applyFont="1" applyFill="1" applyBorder="1" applyAlignment="1">
      <alignment horizontal="center"/>
    </xf>
    <xf numFmtId="0" fontId="42" fillId="2" borderId="24" xfId="1" applyFont="1" applyFill="1" applyBorder="1"/>
    <xf numFmtId="0" fontId="30" fillId="0" borderId="0" xfId="2" applyFont="1"/>
    <xf numFmtId="164" fontId="35" fillId="2" borderId="64" xfId="1" applyNumberFormat="1" applyFont="1" applyFill="1" applyBorder="1" applyAlignment="1">
      <alignment horizontal="center"/>
    </xf>
    <xf numFmtId="164" fontId="50" fillId="2" borderId="64" xfId="1" applyNumberFormat="1" applyFont="1" applyFill="1" applyBorder="1" applyAlignment="1">
      <alignment horizontal="center"/>
    </xf>
    <xf numFmtId="164" fontId="50" fillId="2" borderId="55" xfId="1" applyNumberFormat="1" applyFont="1" applyFill="1" applyBorder="1" applyAlignment="1">
      <alignment horizontal="center"/>
    </xf>
    <xf numFmtId="164" fontId="50" fillId="2" borderId="35" xfId="1" applyNumberFormat="1" applyFont="1" applyFill="1" applyBorder="1" applyAlignment="1">
      <alignment horizontal="center"/>
    </xf>
    <xf numFmtId="164" fontId="50" fillId="2" borderId="63" xfId="1" applyNumberFormat="1" applyFont="1" applyFill="1" applyBorder="1" applyAlignment="1">
      <alignment horizontal="center"/>
    </xf>
    <xf numFmtId="164" fontId="50" fillId="2" borderId="62" xfId="1" applyNumberFormat="1" applyFont="1" applyFill="1" applyBorder="1" applyAlignment="1">
      <alignment horizontal="center"/>
    </xf>
    <xf numFmtId="164" fontId="50" fillId="2" borderId="56" xfId="1" applyNumberFormat="1" applyFont="1" applyFill="1" applyBorder="1" applyAlignment="1">
      <alignment horizontal="center"/>
    </xf>
    <xf numFmtId="0" fontId="42" fillId="2" borderId="46" xfId="1" applyFont="1" applyFill="1" applyBorder="1"/>
    <xf numFmtId="164" fontId="36" fillId="0" borderId="66" xfId="1" applyNumberFormat="1" applyFont="1" applyFill="1" applyBorder="1" applyAlignment="1">
      <alignment horizontal="center"/>
    </xf>
    <xf numFmtId="164" fontId="51" fillId="0" borderId="57" xfId="1" applyNumberFormat="1" applyFont="1" applyFill="1" applyBorder="1" applyAlignment="1">
      <alignment horizontal="center"/>
    </xf>
    <xf numFmtId="164" fontId="51" fillId="0" borderId="10" xfId="1" applyNumberFormat="1" applyFont="1" applyFill="1" applyBorder="1" applyAlignment="1">
      <alignment horizontal="center"/>
    </xf>
    <xf numFmtId="164" fontId="51" fillId="0" borderId="9" xfId="1" applyNumberFormat="1" applyFont="1" applyFill="1" applyBorder="1" applyAlignment="1">
      <alignment horizontal="center"/>
    </xf>
    <xf numFmtId="164" fontId="51" fillId="0" borderId="13" xfId="1" applyNumberFormat="1" applyFont="1" applyFill="1" applyBorder="1" applyAlignment="1">
      <alignment horizontal="center"/>
    </xf>
    <xf numFmtId="164" fontId="51" fillId="0" borderId="11" xfId="1" applyNumberFormat="1" applyFont="1" applyFill="1" applyBorder="1" applyAlignment="1">
      <alignment horizontal="center"/>
    </xf>
    <xf numFmtId="0" fontId="45" fillId="0" borderId="22" xfId="1" applyFont="1" applyFill="1" applyBorder="1" applyAlignment="1">
      <alignment horizontal="left"/>
    </xf>
    <xf numFmtId="164" fontId="36" fillId="0" borderId="31" xfId="1" applyNumberFormat="1" applyFont="1" applyFill="1" applyBorder="1" applyAlignment="1">
      <alignment horizontal="center"/>
    </xf>
    <xf numFmtId="164" fontId="51" fillId="0" borderId="6" xfId="1" applyNumberFormat="1" applyFont="1" applyFill="1" applyBorder="1" applyAlignment="1">
      <alignment horizontal="center"/>
    </xf>
    <xf numFmtId="164" fontId="51" fillId="0" borderId="54" xfId="1" applyNumberFormat="1" applyFont="1" applyFill="1" applyBorder="1" applyAlignment="1">
      <alignment horizontal="center"/>
    </xf>
    <xf numFmtId="164" fontId="51" fillId="0" borderId="52" xfId="1" applyNumberFormat="1" applyFont="1" applyFill="1" applyBorder="1" applyAlignment="1">
      <alignment horizontal="center"/>
    </xf>
    <xf numFmtId="0" fontId="45" fillId="0" borderId="26" xfId="1" quotePrefix="1" applyFont="1" applyFill="1" applyBorder="1" applyAlignment="1">
      <alignment horizontal="left"/>
    </xf>
    <xf numFmtId="164" fontId="36" fillId="0" borderId="8" xfId="1" applyNumberFormat="1" applyFont="1" applyFill="1" applyBorder="1" applyAlignment="1">
      <alignment horizontal="center"/>
    </xf>
    <xf numFmtId="164" fontId="36" fillId="0" borderId="1" xfId="1" applyNumberFormat="1" applyFont="1" applyFill="1" applyBorder="1" applyAlignment="1">
      <alignment horizontal="center"/>
    </xf>
    <xf numFmtId="164" fontId="36" fillId="0" borderId="76" xfId="1" applyNumberFormat="1" applyFont="1" applyFill="1" applyBorder="1" applyAlignment="1">
      <alignment horizontal="center"/>
    </xf>
    <xf numFmtId="164" fontId="36" fillId="0" borderId="44" xfId="1" applyNumberFormat="1" applyFont="1" applyFill="1" applyBorder="1" applyAlignment="1">
      <alignment horizontal="center"/>
    </xf>
    <xf numFmtId="164" fontId="51" fillId="0" borderId="44" xfId="1" applyNumberFormat="1" applyFont="1" applyFill="1" applyBorder="1" applyAlignment="1">
      <alignment horizontal="center"/>
    </xf>
    <xf numFmtId="164" fontId="51" fillId="0" borderId="42" xfId="1" applyNumberFormat="1" applyFont="1" applyFill="1" applyBorder="1" applyAlignment="1">
      <alignment horizontal="center"/>
    </xf>
    <xf numFmtId="164" fontId="51" fillId="0" borderId="43" xfId="1" applyNumberFormat="1" applyFont="1" applyFill="1" applyBorder="1" applyAlignment="1">
      <alignment horizontal="center"/>
    </xf>
    <xf numFmtId="164" fontId="51" fillId="0" borderId="12" xfId="1" applyNumberFormat="1" applyFont="1" applyFill="1" applyBorder="1" applyAlignment="1">
      <alignment horizontal="center"/>
    </xf>
    <xf numFmtId="164" fontId="51" fillId="0" borderId="76" xfId="1" applyNumberFormat="1" applyFont="1" applyFill="1" applyBorder="1" applyAlignment="1">
      <alignment horizontal="center"/>
    </xf>
    <xf numFmtId="164" fontId="51" fillId="0" borderId="3" xfId="1" applyNumberFormat="1" applyFont="1" applyFill="1" applyBorder="1" applyAlignment="1">
      <alignment horizontal="center"/>
    </xf>
    <xf numFmtId="164" fontId="51" fillId="0" borderId="1" xfId="1" applyNumberFormat="1" applyFont="1" applyFill="1" applyBorder="1" applyAlignment="1">
      <alignment horizontal="center"/>
    </xf>
    <xf numFmtId="164" fontId="51" fillId="0" borderId="8" xfId="1" applyNumberFormat="1" applyFont="1" applyFill="1" applyBorder="1" applyAlignment="1">
      <alignment horizontal="center"/>
    </xf>
    <xf numFmtId="0" fontId="45" fillId="0" borderId="54" xfId="1" applyFont="1" applyFill="1" applyBorder="1"/>
    <xf numFmtId="17" fontId="35" fillId="2" borderId="10" xfId="1" applyNumberFormat="1" applyFont="1" applyFill="1" applyBorder="1" applyAlignment="1">
      <alignment horizontal="center"/>
    </xf>
    <xf numFmtId="17" fontId="35" fillId="2" borderId="16" xfId="1" applyNumberFormat="1" applyFont="1" applyFill="1" applyBorder="1" applyAlignment="1">
      <alignment horizontal="center"/>
    </xf>
    <xf numFmtId="17" fontId="35" fillId="2" borderId="11" xfId="1" applyNumberFormat="1" applyFont="1" applyFill="1" applyBorder="1" applyAlignment="1">
      <alignment horizontal="center"/>
    </xf>
    <xf numFmtId="17" fontId="35" fillId="2" borderId="15" xfId="1" applyNumberFormat="1" applyFont="1" applyFill="1" applyBorder="1" applyAlignment="1">
      <alignment horizontal="center"/>
    </xf>
    <xf numFmtId="17" fontId="50" fillId="2" borderId="15" xfId="1" applyNumberFormat="1" applyFont="1" applyFill="1" applyBorder="1" applyAlignment="1">
      <alignment horizontal="center"/>
    </xf>
    <xf numFmtId="17" fontId="50" fillId="2" borderId="17" xfId="1" applyNumberFormat="1" applyFont="1" applyFill="1" applyBorder="1" applyAlignment="1">
      <alignment horizontal="center"/>
    </xf>
    <xf numFmtId="17" fontId="50" fillId="2" borderId="18" xfId="1" applyNumberFormat="1" applyFont="1" applyFill="1" applyBorder="1" applyAlignment="1">
      <alignment horizontal="center"/>
    </xf>
    <xf numFmtId="17" fontId="50" fillId="2" borderId="12" xfId="1" applyNumberFormat="1" applyFont="1" applyFill="1" applyBorder="1" applyAlignment="1">
      <alignment horizontal="center"/>
    </xf>
    <xf numFmtId="17" fontId="50" fillId="2" borderId="14" xfId="1" applyNumberFormat="1" applyFont="1" applyFill="1" applyBorder="1" applyAlignment="1">
      <alignment horizontal="center"/>
    </xf>
    <xf numFmtId="17" fontId="50" fillId="2" borderId="14" xfId="1" quotePrefix="1" applyNumberFormat="1" applyFont="1" applyFill="1" applyBorder="1" applyAlignment="1">
      <alignment horizontal="center"/>
    </xf>
    <xf numFmtId="17" fontId="50" fillId="2" borderId="11" xfId="1" applyNumberFormat="1" applyFont="1" applyFill="1" applyBorder="1" applyAlignment="1">
      <alignment horizontal="center"/>
    </xf>
    <xf numFmtId="17" fontId="50" fillId="2" borderId="3" xfId="1" applyNumberFormat="1" applyFont="1" applyFill="1" applyBorder="1" applyAlignment="1">
      <alignment horizontal="center"/>
    </xf>
    <xf numFmtId="17" fontId="50" fillId="2" borderId="44" xfId="1" applyNumberFormat="1" applyFont="1" applyFill="1" applyBorder="1" applyAlignment="1">
      <alignment horizontal="center"/>
    </xf>
    <xf numFmtId="17" fontId="50" fillId="2" borderId="12" xfId="1" quotePrefix="1" applyNumberFormat="1" applyFont="1" applyFill="1" applyBorder="1" applyAlignment="1">
      <alignment horizontal="center"/>
    </xf>
    <xf numFmtId="17" fontId="50" fillId="2" borderId="15" xfId="1" quotePrefix="1" applyNumberFormat="1" applyFont="1" applyFill="1" applyBorder="1" applyAlignment="1">
      <alignment horizontal="center"/>
    </xf>
    <xf numFmtId="17" fontId="50" fillId="2" borderId="43" xfId="1" quotePrefix="1" applyNumberFormat="1" applyFont="1" applyFill="1" applyBorder="1" applyAlignment="1">
      <alignment horizontal="center"/>
    </xf>
    <xf numFmtId="17" fontId="50" fillId="2" borderId="42" xfId="1" quotePrefix="1" applyNumberFormat="1" applyFont="1" applyFill="1" applyBorder="1" applyAlignment="1">
      <alignment horizontal="center"/>
    </xf>
    <xf numFmtId="17" fontId="50" fillId="2" borderId="1" xfId="1" quotePrefix="1" applyNumberFormat="1" applyFont="1" applyFill="1" applyBorder="1" applyAlignment="1">
      <alignment horizontal="center"/>
    </xf>
    <xf numFmtId="17" fontId="50" fillId="2" borderId="8" xfId="1" quotePrefix="1" applyNumberFormat="1" applyFont="1" applyFill="1" applyBorder="1" applyAlignment="1">
      <alignment horizontal="center"/>
    </xf>
    <xf numFmtId="17" fontId="50" fillId="2" borderId="2" xfId="1" quotePrefix="1" applyNumberFormat="1" applyFont="1" applyFill="1" applyBorder="1" applyAlignment="1">
      <alignment horizontal="center"/>
    </xf>
    <xf numFmtId="0" fontId="45" fillId="2" borderId="70" xfId="1" applyFont="1" applyFill="1" applyBorder="1" applyAlignment="1">
      <alignment horizontal="left"/>
    </xf>
    <xf numFmtId="0" fontId="54" fillId="2" borderId="9" xfId="1" quotePrefix="1" applyFont="1" applyFill="1" applyBorder="1" applyAlignment="1">
      <alignment horizontal="left"/>
    </xf>
    <xf numFmtId="0" fontId="52" fillId="2" borderId="54" xfId="1" applyFont="1" applyFill="1" applyBorder="1"/>
    <xf numFmtId="164" fontId="36" fillId="2" borderId="0" xfId="1" applyNumberFormat="1" applyFont="1" applyFill="1" applyAlignment="1">
      <alignment horizontal="center"/>
    </xf>
    <xf numFmtId="164" fontId="51" fillId="2" borderId="0" xfId="1" applyNumberFormat="1" applyFont="1" applyFill="1" applyAlignment="1">
      <alignment horizontal="center"/>
    </xf>
    <xf numFmtId="164" fontId="45" fillId="2" borderId="0" xfId="1" applyNumberFormat="1" applyFont="1" applyFill="1" applyAlignment="1">
      <alignment horizontal="center"/>
    </xf>
    <xf numFmtId="164" fontId="40" fillId="2" borderId="0" xfId="1" applyNumberFormat="1" applyFont="1" applyFill="1" applyAlignment="1">
      <alignment horizontal="center"/>
    </xf>
    <xf numFmtId="0" fontId="40" fillId="3" borderId="0" xfId="1" applyFont="1" applyFill="1"/>
    <xf numFmtId="164" fontId="32" fillId="2" borderId="0" xfId="1" applyNumberFormat="1" applyFont="1" applyFill="1" applyAlignment="1">
      <alignment horizontal="center"/>
    </xf>
    <xf numFmtId="0" fontId="40" fillId="2" borderId="0" xfId="1" applyFont="1" applyFill="1"/>
    <xf numFmtId="0" fontId="44" fillId="3" borderId="0" xfId="1" applyFont="1" applyFill="1" applyBorder="1"/>
    <xf numFmtId="164" fontId="53" fillId="2" borderId="0" xfId="1" applyNumberFormat="1" applyFont="1" applyFill="1" applyAlignment="1">
      <alignment horizontal="center"/>
    </xf>
    <xf numFmtId="164" fontId="30" fillId="2" borderId="0" xfId="1" applyNumberFormat="1" applyFont="1" applyFill="1" applyAlignment="1">
      <alignment horizontal="center"/>
    </xf>
    <xf numFmtId="0" fontId="44" fillId="2" borderId="0" xfId="1" applyFont="1" applyFill="1" applyBorder="1"/>
    <xf numFmtId="164" fontId="31" fillId="2" borderId="0" xfId="1" applyNumberFormat="1" applyFont="1" applyFill="1" applyAlignment="1">
      <alignment horizontal="center"/>
    </xf>
    <xf numFmtId="164" fontId="30" fillId="3" borderId="0" xfId="1" applyNumberFormat="1" applyFont="1" applyFill="1" applyAlignment="1">
      <alignment horizontal="center"/>
    </xf>
    <xf numFmtId="164" fontId="30" fillId="2" borderId="0" xfId="1" applyNumberFormat="1" applyFont="1" applyFill="1"/>
    <xf numFmtId="0" fontId="53" fillId="2" borderId="0" xfId="1" applyFont="1" applyFill="1"/>
    <xf numFmtId="0" fontId="7" fillId="2" borderId="1" xfId="1" applyFont="1" applyFill="1" applyBorder="1" applyAlignment="1">
      <alignment horizontal="center"/>
    </xf>
    <xf numFmtId="0" fontId="7" fillId="2" borderId="3" xfId="1" applyFont="1" applyFill="1" applyBorder="1" applyAlignment="1">
      <alignment horizontal="center"/>
    </xf>
    <xf numFmtId="0" fontId="7" fillId="2" borderId="2" xfId="1" applyFont="1" applyFill="1" applyBorder="1" applyAlignment="1">
      <alignment horizontal="center"/>
    </xf>
    <xf numFmtId="0" fontId="7" fillId="2" borderId="4" xfId="1" applyFont="1" applyFill="1" applyBorder="1" applyAlignment="1">
      <alignment horizontal="center"/>
    </xf>
    <xf numFmtId="0" fontId="7" fillId="2" borderId="5" xfId="1" applyFont="1" applyFill="1" applyBorder="1" applyAlignment="1">
      <alignment horizontal="center"/>
    </xf>
    <xf numFmtId="1" fontId="36" fillId="2" borderId="6" xfId="1" applyNumberFormat="1" applyFont="1" applyFill="1" applyBorder="1" applyAlignment="1">
      <alignment horizontal="center" vertical="center"/>
    </xf>
    <xf numFmtId="1" fontId="36" fillId="2" borderId="52" xfId="1" applyNumberFormat="1" applyFont="1" applyFill="1" applyBorder="1" applyAlignment="1">
      <alignment horizontal="center" vertical="center"/>
    </xf>
    <xf numFmtId="1" fontId="36" fillId="2" borderId="7" xfId="1" applyNumberFormat="1" applyFont="1" applyFill="1" applyBorder="1" applyAlignment="1">
      <alignment horizontal="center" vertical="center"/>
    </xf>
    <xf numFmtId="1" fontId="36" fillId="2" borderId="10" xfId="1" applyNumberFormat="1" applyFont="1" applyFill="1" applyBorder="1" applyAlignment="1">
      <alignment horizontal="center" vertical="center"/>
    </xf>
    <xf numFmtId="1" fontId="36" fillId="2" borderId="11" xfId="1" applyNumberFormat="1" applyFont="1" applyFill="1" applyBorder="1" applyAlignment="1">
      <alignment horizontal="center" vertical="center"/>
    </xf>
    <xf numFmtId="1" fontId="36" fillId="2" borderId="13" xfId="1" applyNumberFormat="1" applyFont="1" applyFill="1" applyBorder="1" applyAlignment="1">
      <alignment horizontal="center" vertical="center"/>
    </xf>
    <xf numFmtId="1" fontId="36" fillId="2" borderId="54" xfId="1" applyNumberFormat="1" applyFont="1" applyFill="1" applyBorder="1" applyAlignment="1">
      <alignment horizontal="center" vertical="center"/>
    </xf>
    <xf numFmtId="1" fontId="36" fillId="2" borderId="9" xfId="1" applyNumberFormat="1" applyFont="1" applyFill="1" applyBorder="1" applyAlignment="1">
      <alignment horizontal="center" vertical="center"/>
    </xf>
    <xf numFmtId="0" fontId="35" fillId="2" borderId="52" xfId="8" applyFont="1" applyFill="1" applyBorder="1" applyAlignment="1">
      <alignment horizontal="center" vertical="center"/>
    </xf>
    <xf numFmtId="0" fontId="35" fillId="2" borderId="11" xfId="8" applyFont="1" applyFill="1" applyBorder="1" applyAlignment="1">
      <alignment horizontal="center" vertical="center"/>
    </xf>
    <xf numFmtId="0" fontId="35" fillId="2" borderId="54" xfId="1" applyFont="1" applyFill="1" applyBorder="1" applyAlignment="1">
      <alignment horizontal="center" vertical="center"/>
    </xf>
    <xf numFmtId="0" fontId="35" fillId="2" borderId="9" xfId="1" applyFont="1" applyFill="1" applyBorder="1" applyAlignment="1">
      <alignment horizontal="center" vertical="center"/>
    </xf>
    <xf numFmtId="0" fontId="36" fillId="2" borderId="6" xfId="8" applyFont="1" applyFill="1" applyBorder="1" applyAlignment="1">
      <alignment horizontal="center" vertical="center"/>
    </xf>
    <xf numFmtId="0" fontId="36" fillId="2" borderId="10" xfId="8" applyFont="1" applyFill="1" applyBorder="1" applyAlignment="1">
      <alignment horizontal="center" vertical="center"/>
    </xf>
    <xf numFmtId="0" fontId="36" fillId="0" borderId="54" xfId="2" applyFont="1" applyBorder="1" applyAlignment="1">
      <alignment horizontal="center" vertical="center"/>
    </xf>
    <xf numFmtId="0" fontId="36" fillId="0" borderId="9" xfId="2" applyFont="1" applyBorder="1" applyAlignment="1">
      <alignment horizontal="center" vertical="center"/>
    </xf>
    <xf numFmtId="0" fontId="35" fillId="2" borderId="54" xfId="8" applyFont="1" applyFill="1" applyBorder="1" applyAlignment="1">
      <alignment horizontal="center" vertical="center"/>
    </xf>
    <xf numFmtId="0" fontId="35" fillId="2" borderId="9" xfId="8" applyFont="1" applyFill="1" applyBorder="1" applyAlignment="1">
      <alignment horizontal="center" vertical="center"/>
    </xf>
    <xf numFmtId="17" fontId="35" fillId="0" borderId="73" xfId="2" quotePrefix="1" applyNumberFormat="1" applyFont="1" applyBorder="1" applyAlignment="1">
      <alignment horizontal="center"/>
    </xf>
    <xf numFmtId="0" fontId="35" fillId="0" borderId="17" xfId="2" applyNumberFormat="1" applyFont="1" applyBorder="1" applyAlignment="1">
      <alignment horizontal="center"/>
    </xf>
    <xf numFmtId="0" fontId="36" fillId="2" borderId="52" xfId="8" applyFont="1" applyFill="1" applyBorder="1" applyAlignment="1">
      <alignment horizontal="center" vertical="center"/>
    </xf>
    <xf numFmtId="0" fontId="36" fillId="2" borderId="11" xfId="8" applyFont="1" applyFill="1" applyBorder="1" applyAlignment="1">
      <alignment horizontal="center" vertical="center"/>
    </xf>
    <xf numFmtId="0" fontId="36" fillId="2" borderId="52" xfId="1" applyFont="1" applyFill="1" applyBorder="1" applyAlignment="1">
      <alignment horizontal="center" vertical="center"/>
    </xf>
    <xf numFmtId="0" fontId="36" fillId="2" borderId="11" xfId="1" applyFont="1" applyFill="1" applyBorder="1" applyAlignment="1">
      <alignment horizontal="center" vertical="center"/>
    </xf>
    <xf numFmtId="0" fontId="35" fillId="2" borderId="52" xfId="1" applyFont="1" applyFill="1" applyBorder="1" applyAlignment="1">
      <alignment horizontal="center" vertical="center"/>
    </xf>
    <xf numFmtId="0" fontId="35" fillId="2" borderId="11" xfId="1" applyFont="1" applyFill="1" applyBorder="1" applyAlignment="1">
      <alignment horizontal="center" vertical="center"/>
    </xf>
    <xf numFmtId="164" fontId="35" fillId="0" borderId="48" xfId="2" quotePrefix="1" applyNumberFormat="1" applyFont="1" applyBorder="1" applyAlignment="1">
      <alignment horizontal="center"/>
    </xf>
    <xf numFmtId="164" fontId="35" fillId="0" borderId="14" xfId="2" applyNumberFormat="1" applyFont="1" applyBorder="1" applyAlignment="1">
      <alignment horizontal="center"/>
    </xf>
    <xf numFmtId="0" fontId="35" fillId="0" borderId="1" xfId="2" applyFont="1" applyBorder="1" applyAlignment="1">
      <alignment horizontal="center"/>
    </xf>
    <xf numFmtId="0" fontId="35" fillId="0" borderId="3" xfId="2" applyFont="1" applyBorder="1" applyAlignment="1">
      <alignment horizontal="center"/>
    </xf>
    <xf numFmtId="164" fontId="35" fillId="0" borderId="0" xfId="2" quotePrefix="1" applyNumberFormat="1" applyFont="1" applyBorder="1" applyAlignment="1">
      <alignment horizontal="center"/>
    </xf>
    <xf numFmtId="164" fontId="35" fillId="0" borderId="11" xfId="2" applyNumberFormat="1" applyFont="1" applyBorder="1" applyAlignment="1">
      <alignment horizontal="center"/>
    </xf>
    <xf numFmtId="164" fontId="35" fillId="0" borderId="54" xfId="2" applyNumberFormat="1" applyFont="1" applyBorder="1" applyAlignment="1">
      <alignment horizontal="center"/>
    </xf>
    <xf numFmtId="164" fontId="35" fillId="0" borderId="9" xfId="2" applyNumberFormat="1" applyFont="1" applyBorder="1" applyAlignment="1">
      <alignment horizontal="center"/>
    </xf>
    <xf numFmtId="164" fontId="35" fillId="0" borderId="6" xfId="2" quotePrefix="1" applyNumberFormat="1" applyFont="1" applyBorder="1" applyAlignment="1">
      <alignment horizontal="center"/>
    </xf>
    <xf numFmtId="164" fontId="35" fillId="0" borderId="10" xfId="2" applyNumberFormat="1" applyFont="1" applyBorder="1" applyAlignment="1">
      <alignment horizontal="center"/>
    </xf>
    <xf numFmtId="164" fontId="35" fillId="0" borderId="74" xfId="2" quotePrefix="1" applyNumberFormat="1" applyFont="1" applyBorder="1" applyAlignment="1">
      <alignment horizontal="center"/>
    </xf>
    <xf numFmtId="164" fontId="35" fillId="0" borderId="16" xfId="2" quotePrefix="1" applyNumberFormat="1" applyFont="1" applyBorder="1" applyAlignment="1">
      <alignment horizontal="center"/>
    </xf>
    <xf numFmtId="164" fontId="35" fillId="0" borderId="63" xfId="2" applyNumberFormat="1" applyFont="1" applyBorder="1" applyAlignment="1">
      <alignment horizontal="center"/>
    </xf>
    <xf numFmtId="164" fontId="35" fillId="0" borderId="39" xfId="2" applyNumberFormat="1" applyFont="1" applyBorder="1" applyAlignment="1">
      <alignment horizontal="center"/>
    </xf>
    <xf numFmtId="164" fontId="35" fillId="0" borderId="64" xfId="2" applyNumberFormat="1" applyFont="1" applyBorder="1" applyAlignment="1">
      <alignment horizontal="center"/>
    </xf>
    <xf numFmtId="164" fontId="35" fillId="0" borderId="40" xfId="2" applyNumberFormat="1" applyFont="1" applyBorder="1" applyAlignment="1">
      <alignment horizontal="center"/>
    </xf>
    <xf numFmtId="164" fontId="35" fillId="0" borderId="61" xfId="2" applyNumberFormat="1" applyFont="1" applyBorder="1" applyAlignment="1">
      <alignment horizontal="center"/>
    </xf>
    <xf numFmtId="164" fontId="35" fillId="0" borderId="15" xfId="2" applyNumberFormat="1" applyFont="1" applyBorder="1" applyAlignment="1">
      <alignment horizontal="center"/>
    </xf>
    <xf numFmtId="164" fontId="35" fillId="0" borderId="47" xfId="2" quotePrefix="1" applyNumberFormat="1" applyFont="1" applyBorder="1" applyAlignment="1">
      <alignment horizontal="center"/>
    </xf>
    <xf numFmtId="164" fontId="35" fillId="0" borderId="16" xfId="2" applyNumberFormat="1" applyFont="1" applyBorder="1" applyAlignment="1">
      <alignment horizontal="center"/>
    </xf>
    <xf numFmtId="164" fontId="35" fillId="0" borderId="54" xfId="2" quotePrefix="1" applyNumberFormat="1" applyFont="1" applyBorder="1" applyAlignment="1">
      <alignment horizontal="center"/>
    </xf>
    <xf numFmtId="164" fontId="35" fillId="0" borderId="63" xfId="2" quotePrefix="1" applyNumberFormat="1" applyFont="1" applyBorder="1" applyAlignment="1">
      <alignment horizontal="center"/>
    </xf>
    <xf numFmtId="164" fontId="35" fillId="0" borderId="53" xfId="2" quotePrefix="1" applyNumberFormat="1" applyFont="1" applyBorder="1" applyAlignment="1">
      <alignment horizontal="center"/>
    </xf>
    <xf numFmtId="164" fontId="35" fillId="0" borderId="14" xfId="2" quotePrefix="1" applyNumberFormat="1" applyFont="1" applyBorder="1" applyAlignment="1">
      <alignment horizontal="center"/>
    </xf>
    <xf numFmtId="164" fontId="35" fillId="0" borderId="52" xfId="2" applyNumberFormat="1" applyFont="1" applyBorder="1" applyAlignment="1">
      <alignment horizontal="center"/>
    </xf>
    <xf numFmtId="1" fontId="51" fillId="2" borderId="6" xfId="1" applyNumberFormat="1" applyFont="1" applyFill="1" applyBorder="1" applyAlignment="1">
      <alignment horizontal="center" vertical="center"/>
    </xf>
    <xf numFmtId="1" fontId="51" fillId="2" borderId="52" xfId="1" applyNumberFormat="1" applyFont="1" applyFill="1" applyBorder="1" applyAlignment="1">
      <alignment horizontal="center" vertical="center"/>
    </xf>
    <xf numFmtId="1" fontId="51" fillId="2" borderId="10" xfId="1" applyNumberFormat="1" applyFont="1" applyFill="1" applyBorder="1" applyAlignment="1">
      <alignment horizontal="center" vertical="center"/>
    </xf>
    <xf numFmtId="1" fontId="51" fillId="2" borderId="11" xfId="1" applyNumberFormat="1" applyFont="1" applyFill="1" applyBorder="1" applyAlignment="1">
      <alignment horizontal="center" vertical="center"/>
    </xf>
    <xf numFmtId="0" fontId="35" fillId="2" borderId="54" xfId="1" applyFont="1" applyFill="1" applyBorder="1" applyAlignment="1">
      <alignment horizontal="center" vertical="center" wrapText="1"/>
    </xf>
    <xf numFmtId="0" fontId="35" fillId="2" borderId="9" xfId="1" applyFont="1" applyFill="1" applyBorder="1" applyAlignment="1">
      <alignment horizontal="center" vertical="center" wrapText="1"/>
    </xf>
    <xf numFmtId="164" fontId="35" fillId="0" borderId="73" xfId="2" quotePrefix="1" applyNumberFormat="1" applyFont="1" applyBorder="1" applyAlignment="1">
      <alignment horizontal="center"/>
    </xf>
    <xf numFmtId="164" fontId="35" fillId="0" borderId="17" xfId="2" applyNumberFormat="1" applyFont="1" applyBorder="1" applyAlignment="1">
      <alignment horizontal="center"/>
    </xf>
    <xf numFmtId="164" fontId="35" fillId="0" borderId="48" xfId="2" applyNumberFormat="1" applyFont="1" applyBorder="1" applyAlignment="1">
      <alignment horizontal="center"/>
    </xf>
    <xf numFmtId="1" fontId="51" fillId="2" borderId="7" xfId="1" applyNumberFormat="1" applyFont="1" applyFill="1" applyBorder="1" applyAlignment="1">
      <alignment horizontal="center" vertical="center"/>
    </xf>
    <xf numFmtId="1" fontId="51" fillId="2" borderId="13" xfId="1" applyNumberFormat="1" applyFont="1" applyFill="1" applyBorder="1" applyAlignment="1">
      <alignment horizontal="center" vertical="center"/>
    </xf>
    <xf numFmtId="0" fontId="42" fillId="2" borderId="6" xfId="1" applyFont="1" applyFill="1" applyBorder="1" applyAlignment="1">
      <alignment horizontal="center"/>
    </xf>
    <xf numFmtId="0" fontId="42" fillId="2" borderId="52" xfId="1" applyFont="1" applyFill="1" applyBorder="1" applyAlignment="1">
      <alignment horizontal="center"/>
    </xf>
    <xf numFmtId="0" fontId="42" fillId="2" borderId="7" xfId="1" applyFont="1" applyFill="1" applyBorder="1" applyAlignment="1">
      <alignment horizontal="center"/>
    </xf>
    <xf numFmtId="0" fontId="42" fillId="2" borderId="6" xfId="1" applyFont="1" applyFill="1" applyBorder="1" applyAlignment="1">
      <alignment horizontal="center" vertical="center"/>
    </xf>
    <xf numFmtId="0" fontId="42" fillId="2" borderId="52" xfId="1" applyFont="1" applyFill="1" applyBorder="1" applyAlignment="1">
      <alignment horizontal="center" vertical="center"/>
    </xf>
    <xf numFmtId="0" fontId="42" fillId="2" borderId="10" xfId="1" applyFont="1" applyFill="1" applyBorder="1" applyAlignment="1">
      <alignment horizontal="center" vertical="center"/>
    </xf>
    <xf numFmtId="0" fontId="42" fillId="2" borderId="11" xfId="1" applyFont="1" applyFill="1" applyBorder="1" applyAlignment="1">
      <alignment horizontal="center" vertical="center"/>
    </xf>
    <xf numFmtId="0" fontId="35" fillId="2" borderId="6" xfId="1" applyFont="1" applyFill="1" applyBorder="1" applyAlignment="1">
      <alignment horizontal="center" vertical="center" wrapText="1"/>
    </xf>
    <xf numFmtId="0" fontId="35" fillId="2" borderId="10" xfId="1" applyFont="1" applyFill="1" applyBorder="1" applyAlignment="1">
      <alignment horizontal="center" vertical="center" wrapText="1"/>
    </xf>
    <xf numFmtId="0" fontId="35" fillId="2" borderId="7" xfId="1" applyFont="1" applyFill="1" applyBorder="1" applyAlignment="1">
      <alignment horizontal="center" vertical="center"/>
    </xf>
    <xf numFmtId="0" fontId="35" fillId="2" borderId="13" xfId="1" applyFont="1" applyFill="1" applyBorder="1" applyAlignment="1">
      <alignment horizontal="center" vertical="center"/>
    </xf>
  </cellXfs>
  <cellStyles count="10">
    <cellStyle name="Euro" xfId="3"/>
    <cellStyle name="Excel Built-in Normal" xfId="4"/>
    <cellStyle name="Excel Built-in Normal 1" xfId="5"/>
    <cellStyle name="Normal" xfId="0" builtinId="0"/>
    <cellStyle name="Normal 2" xfId="2"/>
    <cellStyle name="Normal 3" xfId="6"/>
    <cellStyle name="Normal 4" xfId="7"/>
    <cellStyle name="Normal_cinquième bimestre 2002" xfId="8"/>
    <cellStyle name="Normal_sixième bimestre 2002 bis" xfId="1"/>
    <cellStyle name="Pourcentage 2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76</xdr:col>
      <xdr:colOff>933450</xdr:colOff>
      <xdr:row>2</xdr:row>
      <xdr:rowOff>200025</xdr:rowOff>
    </xdr:from>
    <xdr:to>
      <xdr:col>81</xdr:col>
      <xdr:colOff>933450</xdr:colOff>
      <xdr:row>8</xdr:row>
      <xdr:rowOff>177801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3667125" y="400050"/>
          <a:ext cx="0" cy="1225551"/>
        </a:xfrm>
        <a:prstGeom prst="rect">
          <a:avLst/>
        </a:prstGeom>
        <a:solidFill>
          <a:srgbClr val="E3E3E3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13500000" algn="ctr" rotWithShape="0">
            <a:srgbClr val="808080"/>
          </a:outerShdw>
        </a:effec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fr-FR" sz="1600" b="1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fr-FR" sz="16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2000" b="1" i="0" strike="noStrike">
              <a:solidFill>
                <a:srgbClr val="000000"/>
              </a:solidFill>
              <a:latin typeface="Arial"/>
              <a:cs typeface="Arial"/>
            </a:rPr>
            <a:t>I- ENVIRONNEMENT INTERNATIONAL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65</xdr:col>
      <xdr:colOff>2809875</xdr:colOff>
      <xdr:row>3</xdr:row>
      <xdr:rowOff>95250</xdr:rowOff>
    </xdr:from>
    <xdr:to>
      <xdr:col>118</xdr:col>
      <xdr:colOff>3000374</xdr:colOff>
      <xdr:row>6</xdr:row>
      <xdr:rowOff>857250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45262800" y="581025"/>
          <a:ext cx="36347399" cy="552450"/>
        </a:xfrm>
        <a:prstGeom prst="rect">
          <a:avLst/>
        </a:prstGeom>
        <a:solidFill>
          <a:srgbClr val="E3E3E3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13500000" algn="ctr" rotWithShape="0">
            <a:srgbClr val="808080"/>
          </a:outerShdw>
        </a:effec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fr-FR" sz="16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fr-FR" sz="3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fr-FR" sz="5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7000" b="1" i="0" strike="noStrike">
              <a:solidFill>
                <a:srgbClr val="000000"/>
              </a:solidFill>
              <a:latin typeface="Arial"/>
              <a:cs typeface="Arial"/>
            </a:rPr>
            <a:t>III. SECTEUR SECONDAIRE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T117"/>
  <sheetViews>
    <sheetView tabSelected="1" view="pageBreakPreview" topLeftCell="B2" zoomScale="40" zoomScaleNormal="70" zoomScaleSheetLayoutView="40" workbookViewId="0">
      <selection activeCell="L51" sqref="L51"/>
    </sheetView>
  </sheetViews>
  <sheetFormatPr baseColWidth="10" defaultColWidth="10.28515625" defaultRowHeight="15.75"/>
  <cols>
    <col min="1" max="1" width="0" style="1" hidden="1" customWidth="1"/>
    <col min="2" max="2" width="14.28515625" style="1" customWidth="1"/>
    <col min="3" max="3" width="40.7109375" style="1" customWidth="1"/>
    <col min="4" max="10" width="11.5703125" style="1" customWidth="1"/>
    <col min="11" max="12" width="12.7109375" style="1" customWidth="1"/>
    <col min="13" max="13" width="11.5703125" style="1" customWidth="1"/>
    <col min="14" max="15" width="15.7109375" style="1" customWidth="1"/>
    <col min="16" max="35" width="19.7109375" style="1" customWidth="1"/>
    <col min="36" max="97" width="20.7109375" style="1" customWidth="1"/>
    <col min="98" max="101" width="20.85546875" style="1" bestFit="1" customWidth="1"/>
    <col min="102" max="107" width="14.140625" style="1" bestFit="1" customWidth="1"/>
    <col min="108" max="108" width="22" style="1" bestFit="1" customWidth="1"/>
    <col min="109" max="109" width="15.85546875" style="1" bestFit="1" customWidth="1"/>
    <col min="110" max="110" width="20.85546875" style="1" bestFit="1" customWidth="1"/>
    <col min="111" max="111" width="20.5703125" style="1" bestFit="1" customWidth="1"/>
    <col min="112" max="112" width="15.5703125" style="1" bestFit="1" customWidth="1"/>
    <col min="113" max="113" width="14.85546875" style="1" bestFit="1" customWidth="1"/>
    <col min="114" max="115" width="14.140625" style="1" bestFit="1" customWidth="1"/>
    <col min="116" max="16384" width="10.28515625" style="1"/>
  </cols>
  <sheetData>
    <row r="1" spans="1:124" hidden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spans="1:124">
      <c r="B2" s="3"/>
    </row>
    <row r="3" spans="1:124">
      <c r="B3" s="3"/>
    </row>
    <row r="4" spans="1:124">
      <c r="B4" s="3"/>
      <c r="CT4" s="4"/>
      <c r="CU4" s="4"/>
      <c r="CV4" s="4"/>
      <c r="CW4" s="4"/>
    </row>
    <row r="5" spans="1:124" s="4" customFormat="1" ht="19.5" customHeight="1">
      <c r="B5" s="5"/>
      <c r="AA5" s="6"/>
    </row>
    <row r="6" spans="1:124">
      <c r="B6" s="3"/>
      <c r="C6" s="3"/>
    </row>
    <row r="7" spans="1:124">
      <c r="B7" s="3"/>
      <c r="C7" s="3"/>
    </row>
    <row r="8" spans="1:124">
      <c r="B8" s="3"/>
      <c r="C8" s="3"/>
    </row>
    <row r="9" spans="1:124">
      <c r="B9" s="3"/>
      <c r="C9" s="3"/>
      <c r="AN9" s="7"/>
      <c r="AO9" s="7"/>
      <c r="AP9" s="7"/>
      <c r="AQ9" s="7"/>
      <c r="AR9" s="7"/>
      <c r="AS9" s="7"/>
      <c r="AT9" s="7"/>
    </row>
    <row r="10" spans="1:124" ht="30">
      <c r="B10" s="8" t="s">
        <v>0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24" ht="30.75" thickBot="1"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24" ht="30.75" thickBot="1">
      <c r="B12" s="10"/>
      <c r="C12" s="11"/>
      <c r="D12" s="797">
        <v>2006</v>
      </c>
      <c r="E12" s="798"/>
      <c r="F12" s="798"/>
      <c r="G12" s="798"/>
      <c r="H12" s="798"/>
      <c r="I12" s="798"/>
      <c r="J12" s="798"/>
      <c r="K12" s="798"/>
      <c r="L12" s="798"/>
      <c r="M12" s="798"/>
      <c r="N12" s="798"/>
      <c r="O12" s="798"/>
      <c r="P12" s="797">
        <v>2007</v>
      </c>
      <c r="Q12" s="798"/>
      <c r="R12" s="798"/>
      <c r="S12" s="798"/>
      <c r="T12" s="798"/>
      <c r="U12" s="798"/>
      <c r="V12" s="798"/>
      <c r="W12" s="798"/>
      <c r="X12" s="798"/>
      <c r="Y12" s="798"/>
      <c r="Z12" s="798"/>
      <c r="AA12" s="798"/>
      <c r="AB12" s="797">
        <v>2008</v>
      </c>
      <c r="AC12" s="798"/>
      <c r="AD12" s="798"/>
      <c r="AE12" s="798"/>
      <c r="AF12" s="798"/>
      <c r="AG12" s="798"/>
      <c r="AH12" s="798"/>
      <c r="AI12" s="798"/>
      <c r="AJ12" s="798"/>
      <c r="AK12" s="798"/>
      <c r="AL12" s="798"/>
      <c r="AM12" s="799"/>
      <c r="AN12" s="800">
        <v>2009</v>
      </c>
      <c r="AO12" s="801"/>
      <c r="AP12" s="801"/>
      <c r="AQ12" s="801"/>
      <c r="AR12" s="801"/>
      <c r="AS12" s="801"/>
      <c r="AT12" s="801"/>
      <c r="AU12" s="801"/>
      <c r="AV12" s="801"/>
      <c r="AW12" s="801"/>
      <c r="AX12" s="801"/>
      <c r="AY12" s="801"/>
      <c r="AZ12" s="797">
        <v>2010</v>
      </c>
      <c r="BA12" s="798"/>
      <c r="BB12" s="798"/>
      <c r="BC12" s="798"/>
      <c r="BD12" s="798"/>
      <c r="BE12" s="798"/>
      <c r="BF12" s="798"/>
      <c r="BG12" s="798"/>
      <c r="BH12" s="798"/>
      <c r="BI12" s="798"/>
      <c r="BJ12" s="798"/>
      <c r="BK12" s="798"/>
      <c r="BL12" s="797">
        <v>2011</v>
      </c>
      <c r="BM12" s="798"/>
      <c r="BN12" s="798"/>
      <c r="BO12" s="798"/>
      <c r="BP12" s="798"/>
      <c r="BQ12" s="798"/>
      <c r="BR12" s="798"/>
      <c r="BS12" s="798"/>
      <c r="BT12" s="798"/>
      <c r="BU12" s="798"/>
      <c r="BV12" s="798"/>
      <c r="BW12" s="798"/>
      <c r="BX12" s="797">
        <v>2012</v>
      </c>
      <c r="BY12" s="798"/>
      <c r="BZ12" s="798"/>
      <c r="CA12" s="798"/>
      <c r="CB12" s="798"/>
      <c r="CC12" s="798"/>
      <c r="CD12" s="798"/>
      <c r="CE12" s="798"/>
      <c r="CF12" s="798"/>
      <c r="CG12" s="798"/>
      <c r="CH12" s="798"/>
      <c r="CI12" s="799"/>
      <c r="CJ12" s="797">
        <v>2013</v>
      </c>
      <c r="CK12" s="798"/>
      <c r="CL12" s="798"/>
      <c r="CM12" s="798"/>
      <c r="CN12" s="798"/>
      <c r="CO12" s="798"/>
      <c r="CP12" s="798"/>
      <c r="CQ12" s="798"/>
      <c r="CR12" s="798"/>
      <c r="CS12" s="798"/>
      <c r="CT12" s="798"/>
      <c r="CU12" s="799"/>
      <c r="CV12" s="797">
        <v>2014</v>
      </c>
      <c r="CW12" s="798"/>
      <c r="CX12" s="798"/>
      <c r="CY12" s="798"/>
      <c r="CZ12" s="798"/>
      <c r="DA12" s="798"/>
      <c r="DB12" s="798"/>
      <c r="DC12" s="798"/>
      <c r="DD12" s="798"/>
      <c r="DE12" s="798"/>
      <c r="DF12" s="798"/>
      <c r="DG12" s="799"/>
      <c r="DH12" s="797">
        <v>2015</v>
      </c>
      <c r="DI12" s="798"/>
      <c r="DJ12" s="798"/>
      <c r="DK12" s="799"/>
      <c r="DL12" s="12"/>
      <c r="DM12" s="12"/>
      <c r="DN12" s="12"/>
      <c r="DO12" s="12"/>
      <c r="DP12" s="12"/>
      <c r="DQ12" s="12"/>
      <c r="DR12" s="12"/>
      <c r="DS12" s="12"/>
      <c r="DT12" s="3"/>
    </row>
    <row r="13" spans="1:124" ht="26.25" thickBot="1">
      <c r="B13" s="13" t="s">
        <v>1</v>
      </c>
      <c r="C13" s="14"/>
      <c r="D13" s="15" t="s">
        <v>2</v>
      </c>
      <c r="E13" s="16" t="s">
        <v>3</v>
      </c>
      <c r="F13" s="16" t="s">
        <v>4</v>
      </c>
      <c r="G13" s="16" t="s">
        <v>5</v>
      </c>
      <c r="H13" s="16" t="s">
        <v>6</v>
      </c>
      <c r="I13" s="16" t="s">
        <v>7</v>
      </c>
      <c r="J13" s="16" t="s">
        <v>8</v>
      </c>
      <c r="K13" s="17" t="s">
        <v>9</v>
      </c>
      <c r="L13" s="16" t="s">
        <v>10</v>
      </c>
      <c r="M13" s="16" t="s">
        <v>11</v>
      </c>
      <c r="N13" s="18" t="s">
        <v>12</v>
      </c>
      <c r="O13" s="18" t="s">
        <v>13</v>
      </c>
      <c r="P13" s="19" t="s">
        <v>14</v>
      </c>
      <c r="Q13" s="20" t="s">
        <v>3</v>
      </c>
      <c r="R13" s="20" t="s">
        <v>4</v>
      </c>
      <c r="S13" s="20" t="s">
        <v>5</v>
      </c>
      <c r="T13" s="20" t="s">
        <v>6</v>
      </c>
      <c r="U13" s="20" t="s">
        <v>7</v>
      </c>
      <c r="V13" s="20" t="s">
        <v>8</v>
      </c>
      <c r="W13" s="21" t="s">
        <v>9</v>
      </c>
      <c r="X13" s="20" t="s">
        <v>10</v>
      </c>
      <c r="Y13" s="20" t="s">
        <v>11</v>
      </c>
      <c r="Z13" s="20" t="s">
        <v>12</v>
      </c>
      <c r="AA13" s="21" t="s">
        <v>13</v>
      </c>
      <c r="AB13" s="19" t="s">
        <v>15</v>
      </c>
      <c r="AC13" s="22" t="s">
        <v>3</v>
      </c>
      <c r="AD13" s="20" t="s">
        <v>4</v>
      </c>
      <c r="AE13" s="22" t="s">
        <v>5</v>
      </c>
      <c r="AF13" s="20" t="s">
        <v>6</v>
      </c>
      <c r="AG13" s="23" t="s">
        <v>16</v>
      </c>
      <c r="AH13" s="20" t="s">
        <v>17</v>
      </c>
      <c r="AI13" s="22" t="s">
        <v>18</v>
      </c>
      <c r="AJ13" s="20" t="s">
        <v>10</v>
      </c>
      <c r="AK13" s="22" t="s">
        <v>11</v>
      </c>
      <c r="AL13" s="24" t="s">
        <v>12</v>
      </c>
      <c r="AM13" s="25" t="s">
        <v>13</v>
      </c>
      <c r="AN13" s="26" t="s">
        <v>19</v>
      </c>
      <c r="AO13" s="27" t="s">
        <v>20</v>
      </c>
      <c r="AP13" s="27" t="s">
        <v>4</v>
      </c>
      <c r="AQ13" s="27" t="s">
        <v>5</v>
      </c>
      <c r="AR13" s="27" t="s">
        <v>6</v>
      </c>
      <c r="AS13" s="27" t="s">
        <v>7</v>
      </c>
      <c r="AT13" s="27" t="s">
        <v>17</v>
      </c>
      <c r="AU13" s="27" t="s">
        <v>18</v>
      </c>
      <c r="AV13" s="27" t="s">
        <v>21</v>
      </c>
      <c r="AW13" s="27" t="s">
        <v>22</v>
      </c>
      <c r="AX13" s="28" t="s">
        <v>23</v>
      </c>
      <c r="AY13" s="29" t="s">
        <v>24</v>
      </c>
      <c r="AZ13" s="30" t="s">
        <v>25</v>
      </c>
      <c r="BA13" s="31">
        <v>40210</v>
      </c>
      <c r="BB13" s="27" t="s">
        <v>26</v>
      </c>
      <c r="BC13" s="32" t="s">
        <v>27</v>
      </c>
      <c r="BD13" s="33" t="s">
        <v>28</v>
      </c>
      <c r="BE13" s="31" t="s">
        <v>7</v>
      </c>
      <c r="BF13" s="34" t="s">
        <v>17</v>
      </c>
      <c r="BG13" s="31" t="s">
        <v>18</v>
      </c>
      <c r="BH13" s="31" t="s">
        <v>21</v>
      </c>
      <c r="BI13" s="31" t="s">
        <v>22</v>
      </c>
      <c r="BJ13" s="35" t="s">
        <v>23</v>
      </c>
      <c r="BK13" s="18" t="s">
        <v>24</v>
      </c>
      <c r="BL13" s="19" t="s">
        <v>29</v>
      </c>
      <c r="BM13" s="20">
        <v>40575</v>
      </c>
      <c r="BN13" s="19" t="s">
        <v>30</v>
      </c>
      <c r="BO13" s="19" t="s">
        <v>31</v>
      </c>
      <c r="BP13" s="19" t="s">
        <v>32</v>
      </c>
      <c r="BQ13" s="19" t="s">
        <v>33</v>
      </c>
      <c r="BR13" s="20" t="s">
        <v>17</v>
      </c>
      <c r="BS13" s="20" t="s">
        <v>18</v>
      </c>
      <c r="BT13" s="20" t="s">
        <v>21</v>
      </c>
      <c r="BU13" s="20" t="s">
        <v>22</v>
      </c>
      <c r="BV13" s="20" t="s">
        <v>23</v>
      </c>
      <c r="BW13" s="20" t="s">
        <v>24</v>
      </c>
      <c r="BX13" s="19" t="s">
        <v>34</v>
      </c>
      <c r="BY13" s="20" t="s">
        <v>20</v>
      </c>
      <c r="BZ13" s="20" t="s">
        <v>4</v>
      </c>
      <c r="CA13" s="20" t="s">
        <v>5</v>
      </c>
      <c r="CB13" s="20" t="s">
        <v>6</v>
      </c>
      <c r="CC13" s="20" t="s">
        <v>7</v>
      </c>
      <c r="CD13" s="20" t="s">
        <v>17</v>
      </c>
      <c r="CE13" s="20" t="s">
        <v>18</v>
      </c>
      <c r="CF13" s="20" t="s">
        <v>21</v>
      </c>
      <c r="CG13" s="20" t="s">
        <v>22</v>
      </c>
      <c r="CH13" s="20" t="s">
        <v>23</v>
      </c>
      <c r="CI13" s="20" t="s">
        <v>24</v>
      </c>
      <c r="CJ13" s="20" t="s">
        <v>34</v>
      </c>
      <c r="CK13" s="20" t="s">
        <v>20</v>
      </c>
      <c r="CL13" s="20" t="s">
        <v>4</v>
      </c>
      <c r="CM13" s="20" t="s">
        <v>5</v>
      </c>
      <c r="CN13" s="20" t="s">
        <v>6</v>
      </c>
      <c r="CO13" s="20" t="s">
        <v>7</v>
      </c>
      <c r="CP13" s="20" t="s">
        <v>17</v>
      </c>
      <c r="CQ13" s="20" t="s">
        <v>18</v>
      </c>
      <c r="CR13" s="20" t="s">
        <v>21</v>
      </c>
      <c r="CS13" s="20" t="s">
        <v>22</v>
      </c>
      <c r="CT13" s="20" t="s">
        <v>23</v>
      </c>
      <c r="CU13" s="20" t="s">
        <v>24</v>
      </c>
      <c r="CV13" s="20" t="s">
        <v>34</v>
      </c>
      <c r="CW13" s="20" t="s">
        <v>20</v>
      </c>
      <c r="CX13" s="20" t="s">
        <v>4</v>
      </c>
      <c r="CY13" s="20" t="s">
        <v>5</v>
      </c>
      <c r="CZ13" s="20" t="s">
        <v>6</v>
      </c>
      <c r="DA13" s="20" t="s">
        <v>7</v>
      </c>
      <c r="DB13" s="20" t="s">
        <v>17</v>
      </c>
      <c r="DC13" s="20" t="s">
        <v>18</v>
      </c>
      <c r="DD13" s="20" t="s">
        <v>21</v>
      </c>
      <c r="DE13" s="20" t="s">
        <v>22</v>
      </c>
      <c r="DF13" s="20" t="s">
        <v>23</v>
      </c>
      <c r="DG13" s="20" t="s">
        <v>24</v>
      </c>
      <c r="DH13" s="20" t="s">
        <v>34</v>
      </c>
      <c r="DI13" s="20" t="s">
        <v>20</v>
      </c>
      <c r="DJ13" s="20" t="s">
        <v>4</v>
      </c>
      <c r="DK13" s="20" t="s">
        <v>5</v>
      </c>
    </row>
    <row r="14" spans="1:124" ht="27" thickBot="1">
      <c r="A14" s="1">
        <v>50</v>
      </c>
      <c r="B14" s="36" t="s">
        <v>35</v>
      </c>
      <c r="C14" s="37"/>
      <c r="D14" s="38">
        <v>930</v>
      </c>
      <c r="E14" s="39">
        <v>921</v>
      </c>
      <c r="F14" s="39">
        <v>902</v>
      </c>
      <c r="G14" s="39">
        <v>899</v>
      </c>
      <c r="H14" s="39">
        <v>892</v>
      </c>
      <c r="I14" s="39">
        <v>898</v>
      </c>
      <c r="J14" s="39">
        <v>928</v>
      </c>
      <c r="K14" s="39">
        <v>944</v>
      </c>
      <c r="L14" s="39">
        <v>959</v>
      </c>
      <c r="M14" s="39">
        <v>1068</v>
      </c>
      <c r="N14" s="40">
        <v>1120</v>
      </c>
      <c r="O14" s="40">
        <v>1173</v>
      </c>
      <c r="P14" s="40">
        <v>1180</v>
      </c>
      <c r="Q14" s="40">
        <v>1173</v>
      </c>
      <c r="R14" s="40">
        <v>1157</v>
      </c>
      <c r="S14" s="40">
        <v>1202</v>
      </c>
      <c r="T14" s="40">
        <v>1159</v>
      </c>
      <c r="U14" s="40">
        <v>1209</v>
      </c>
      <c r="V14" s="40">
        <v>1342</v>
      </c>
      <c r="W14" s="40">
        <v>1404</v>
      </c>
      <c r="X14" s="40">
        <v>1445</v>
      </c>
      <c r="Y14" s="40">
        <v>1486</v>
      </c>
      <c r="Z14" s="40">
        <v>1691</v>
      </c>
      <c r="AA14" s="41">
        <v>1777</v>
      </c>
      <c r="AB14" s="42">
        <v>1861</v>
      </c>
      <c r="AC14" s="43">
        <v>1958</v>
      </c>
      <c r="AD14" s="44">
        <v>2203</v>
      </c>
      <c r="AE14" s="43">
        <v>2200</v>
      </c>
      <c r="AF14" s="42">
        <v>2345</v>
      </c>
      <c r="AG14" s="43">
        <v>2439</v>
      </c>
      <c r="AH14" s="42">
        <v>2536</v>
      </c>
      <c r="AI14" s="43">
        <v>2372</v>
      </c>
      <c r="AJ14" s="45">
        <v>2341</v>
      </c>
      <c r="AK14" s="46">
        <v>2110</v>
      </c>
      <c r="AL14" s="47">
        <v>1772</v>
      </c>
      <c r="AM14" s="48">
        <v>1436</v>
      </c>
      <c r="AN14" s="49">
        <v>1343</v>
      </c>
      <c r="AO14" s="47">
        <v>1295</v>
      </c>
      <c r="AP14" s="47">
        <v>1224</v>
      </c>
      <c r="AQ14" s="47">
        <v>1188</v>
      </c>
      <c r="AR14" s="47">
        <v>1157</v>
      </c>
      <c r="AS14" s="47">
        <v>1154</v>
      </c>
      <c r="AT14" s="47">
        <v>1149</v>
      </c>
      <c r="AU14" s="47">
        <v>1131</v>
      </c>
      <c r="AV14" s="47">
        <v>1120</v>
      </c>
      <c r="AW14" s="47">
        <v>1148</v>
      </c>
      <c r="AX14" s="50">
        <v>1116</v>
      </c>
      <c r="AY14" s="51">
        <v>1192</v>
      </c>
      <c r="AZ14" s="52">
        <v>1314</v>
      </c>
      <c r="BA14" s="47">
        <v>1380</v>
      </c>
      <c r="BB14" s="47">
        <v>1380</v>
      </c>
      <c r="BC14" s="48">
        <v>1361</v>
      </c>
      <c r="BD14" s="48">
        <v>1353</v>
      </c>
      <c r="BE14" s="48">
        <v>1342</v>
      </c>
      <c r="BF14" s="48">
        <v>1300</v>
      </c>
      <c r="BG14" s="48">
        <v>1334</v>
      </c>
      <c r="BH14" s="48">
        <v>1270</v>
      </c>
      <c r="BI14" s="48">
        <v>1331</v>
      </c>
      <c r="BJ14" s="51">
        <v>1728</v>
      </c>
      <c r="BK14" s="53">
        <v>1753</v>
      </c>
      <c r="BL14" s="53">
        <v>1788</v>
      </c>
      <c r="BM14" s="53">
        <v>1730</v>
      </c>
      <c r="BN14" s="53">
        <v>1650</v>
      </c>
      <c r="BO14" s="53">
        <v>1680</v>
      </c>
      <c r="BP14" s="54">
        <v>1830</v>
      </c>
      <c r="BQ14" s="54">
        <v>1980</v>
      </c>
      <c r="BR14" s="54">
        <v>2120</v>
      </c>
      <c r="BS14" s="54">
        <v>2100</v>
      </c>
      <c r="BT14" s="54">
        <v>2110</v>
      </c>
      <c r="BU14" s="54">
        <v>2020.7</v>
      </c>
      <c r="BV14" s="54">
        <v>2225</v>
      </c>
      <c r="BW14" s="54">
        <v>2167</v>
      </c>
      <c r="BX14" s="54">
        <v>2241.9782</v>
      </c>
      <c r="BY14" s="54">
        <v>2336.7219567538</v>
      </c>
      <c r="BZ14" s="54">
        <v>2433.9093075771952</v>
      </c>
      <c r="CA14" s="54">
        <v>2494.5</v>
      </c>
      <c r="CB14" s="54">
        <v>2555</v>
      </c>
      <c r="CC14" s="54">
        <v>2520</v>
      </c>
      <c r="CD14" s="54">
        <v>2468</v>
      </c>
      <c r="CE14" s="54">
        <v>2553</v>
      </c>
      <c r="CF14" s="54">
        <v>2408</v>
      </c>
      <c r="CG14" s="54">
        <v>2375</v>
      </c>
      <c r="CH14" s="54">
        <v>2303</v>
      </c>
      <c r="CI14" s="54">
        <v>2216</v>
      </c>
      <c r="CJ14" s="54">
        <v>2100</v>
      </c>
      <c r="CK14" s="54">
        <v>1982</v>
      </c>
      <c r="CL14" s="54">
        <v>1924</v>
      </c>
      <c r="CM14" s="54">
        <v>1899</v>
      </c>
      <c r="CN14" s="54">
        <v>1867</v>
      </c>
      <c r="CO14" s="54">
        <v>1813</v>
      </c>
      <c r="CP14" s="54">
        <v>1758</v>
      </c>
      <c r="CQ14" s="55">
        <v>1685</v>
      </c>
      <c r="CR14" s="55">
        <v>1638</v>
      </c>
      <c r="CS14" s="55">
        <v>1575</v>
      </c>
      <c r="CT14" s="55">
        <v>1543</v>
      </c>
      <c r="CU14" s="55">
        <v>1493</v>
      </c>
      <c r="CV14" s="55">
        <v>1410</v>
      </c>
      <c r="CW14" s="56">
        <v>1303</v>
      </c>
      <c r="CX14" s="56">
        <v>1924</v>
      </c>
      <c r="CY14" s="56">
        <v>1174</v>
      </c>
      <c r="CZ14" s="56">
        <v>1200</v>
      </c>
      <c r="DA14" s="55">
        <v>1310</v>
      </c>
      <c r="DB14" s="55">
        <v>1325</v>
      </c>
      <c r="DC14" s="55">
        <v>1350</v>
      </c>
      <c r="DD14" s="55">
        <v>1360</v>
      </c>
      <c r="DE14" s="55">
        <v>1365</v>
      </c>
      <c r="DF14" s="55">
        <v>1368</v>
      </c>
      <c r="DG14" s="55">
        <v>1370</v>
      </c>
      <c r="DH14" s="55">
        <v>1391</v>
      </c>
      <c r="DI14" s="55">
        <v>1366</v>
      </c>
      <c r="DJ14" s="55">
        <v>1356</v>
      </c>
      <c r="DK14" s="55">
        <v>1348</v>
      </c>
    </row>
    <row r="15" spans="1:124" ht="27" thickBot="1">
      <c r="B15" s="57" t="s">
        <v>36</v>
      </c>
      <c r="C15" s="58"/>
      <c r="D15" s="38">
        <v>424</v>
      </c>
      <c r="E15" s="39">
        <v>445</v>
      </c>
      <c r="F15" s="39">
        <v>440</v>
      </c>
      <c r="G15" s="39">
        <v>439</v>
      </c>
      <c r="H15" s="39">
        <v>440</v>
      </c>
      <c r="I15" s="39">
        <v>437</v>
      </c>
      <c r="J15" s="39">
        <v>471</v>
      </c>
      <c r="K15" s="39">
        <v>510</v>
      </c>
      <c r="L15" s="39">
        <v>498</v>
      </c>
      <c r="M15" s="39">
        <v>506.92041522491343</v>
      </c>
      <c r="N15" s="40">
        <v>547.02532888278029</v>
      </c>
      <c r="O15" s="40">
        <v>582.94098690835858</v>
      </c>
      <c r="P15" s="40">
        <v>599.20634920634916</v>
      </c>
      <c r="Q15" s="40">
        <v>605</v>
      </c>
      <c r="R15" s="40">
        <v>622</v>
      </c>
      <c r="S15" s="40">
        <v>710</v>
      </c>
      <c r="T15" s="40">
        <v>772</v>
      </c>
      <c r="U15" s="40">
        <v>805</v>
      </c>
      <c r="V15" s="40">
        <v>811</v>
      </c>
      <c r="W15" s="40">
        <v>821</v>
      </c>
      <c r="X15" s="40">
        <v>835</v>
      </c>
      <c r="Y15" s="40">
        <v>881</v>
      </c>
      <c r="Z15" s="40">
        <v>952</v>
      </c>
      <c r="AA15" s="41">
        <v>950</v>
      </c>
      <c r="AB15" s="59">
        <v>1059</v>
      </c>
      <c r="AC15" s="60">
        <v>1160</v>
      </c>
      <c r="AD15" s="59">
        <v>1249</v>
      </c>
      <c r="AE15" s="60">
        <v>1174</v>
      </c>
      <c r="AF15" s="59">
        <v>1208</v>
      </c>
      <c r="AG15" s="60">
        <v>1206</v>
      </c>
      <c r="AH15" s="59">
        <v>1128</v>
      </c>
      <c r="AI15" s="60">
        <v>885</v>
      </c>
      <c r="AJ15" s="61">
        <v>771</v>
      </c>
      <c r="AK15" s="62">
        <v>545</v>
      </c>
      <c r="AL15" s="63">
        <v>488</v>
      </c>
      <c r="AM15" s="64">
        <v>503</v>
      </c>
      <c r="AN15" s="65">
        <v>562</v>
      </c>
      <c r="AO15" s="63">
        <v>571</v>
      </c>
      <c r="AP15" s="63">
        <v>597</v>
      </c>
      <c r="AQ15" s="63">
        <v>700</v>
      </c>
      <c r="AR15" s="63">
        <v>801</v>
      </c>
      <c r="AS15" s="63">
        <v>730</v>
      </c>
      <c r="AT15" s="63">
        <v>639</v>
      </c>
      <c r="AU15" s="63">
        <v>723</v>
      </c>
      <c r="AV15" s="63">
        <v>678</v>
      </c>
      <c r="AW15" s="63">
        <v>679.9</v>
      </c>
      <c r="AX15" s="66">
        <v>725</v>
      </c>
      <c r="AY15" s="67">
        <v>791</v>
      </c>
      <c r="AZ15" s="68">
        <v>795</v>
      </c>
      <c r="BA15" s="63">
        <v>798</v>
      </c>
      <c r="BB15" s="63">
        <v>832</v>
      </c>
      <c r="BC15" s="64">
        <v>830</v>
      </c>
      <c r="BD15" s="64">
        <v>811</v>
      </c>
      <c r="BE15" s="64">
        <v>789</v>
      </c>
      <c r="BF15" s="64">
        <v>807</v>
      </c>
      <c r="BG15" s="64">
        <v>905</v>
      </c>
      <c r="BH15" s="64">
        <v>912</v>
      </c>
      <c r="BI15" s="64">
        <v>984</v>
      </c>
      <c r="BJ15" s="67">
        <v>1109</v>
      </c>
      <c r="BK15" s="69">
        <v>1228</v>
      </c>
      <c r="BL15" s="69">
        <v>1279</v>
      </c>
      <c r="BM15" s="69">
        <v>1292</v>
      </c>
      <c r="BN15" s="69">
        <v>1180</v>
      </c>
      <c r="BO15" s="69">
        <v>1149</v>
      </c>
      <c r="BP15" s="69">
        <v>1159</v>
      </c>
      <c r="BQ15" s="69">
        <v>1133</v>
      </c>
      <c r="BR15" s="69">
        <v>1089</v>
      </c>
      <c r="BS15" s="69">
        <v>1033</v>
      </c>
      <c r="BT15" s="69">
        <v>1065</v>
      </c>
      <c r="BU15" s="69">
        <v>994</v>
      </c>
      <c r="BV15" s="69">
        <v>1053</v>
      </c>
      <c r="BW15" s="69">
        <v>1027</v>
      </c>
      <c r="BX15" s="69">
        <v>1061</v>
      </c>
      <c r="BY15" s="69">
        <v>1106</v>
      </c>
      <c r="BZ15" s="69">
        <v>1153</v>
      </c>
      <c r="CA15" s="69">
        <v>1181</v>
      </c>
      <c r="CB15" s="69">
        <v>1085</v>
      </c>
      <c r="CC15" s="69">
        <v>999</v>
      </c>
      <c r="CD15" s="69">
        <v>1015</v>
      </c>
      <c r="CE15" s="69">
        <v>997</v>
      </c>
      <c r="CF15" s="69">
        <v>967</v>
      </c>
      <c r="CG15" s="69">
        <v>839</v>
      </c>
      <c r="CH15" s="69">
        <v>813</v>
      </c>
      <c r="CI15" s="69">
        <v>776</v>
      </c>
      <c r="CJ15" s="69">
        <v>841</v>
      </c>
      <c r="CK15" s="69">
        <v>863</v>
      </c>
      <c r="CL15" s="69">
        <v>854</v>
      </c>
      <c r="CM15" s="69">
        <v>842</v>
      </c>
      <c r="CN15" s="69">
        <v>849</v>
      </c>
      <c r="CO15" s="69">
        <v>861</v>
      </c>
      <c r="CP15" s="69">
        <v>833</v>
      </c>
      <c r="CQ15" s="69">
        <v>828</v>
      </c>
      <c r="CR15" s="69">
        <v>820</v>
      </c>
      <c r="CS15" s="69">
        <v>859</v>
      </c>
      <c r="CT15" s="69">
        <v>921</v>
      </c>
      <c r="CU15" s="69">
        <v>912</v>
      </c>
      <c r="CV15" s="69">
        <v>865</v>
      </c>
      <c r="CW15" s="70">
        <v>908</v>
      </c>
      <c r="CX15" s="70">
        <v>854</v>
      </c>
      <c r="CY15" s="70">
        <v>911</v>
      </c>
      <c r="CZ15" s="70">
        <v>893</v>
      </c>
      <c r="DA15" s="69">
        <v>857</v>
      </c>
      <c r="DB15" s="69">
        <v>841</v>
      </c>
      <c r="DC15" s="69">
        <v>766</v>
      </c>
      <c r="DD15" s="69">
        <v>709</v>
      </c>
      <c r="DE15" s="69">
        <v>722</v>
      </c>
      <c r="DF15" s="69">
        <v>731</v>
      </c>
      <c r="DG15" s="69">
        <v>693</v>
      </c>
      <c r="DH15" s="69">
        <v>688</v>
      </c>
      <c r="DI15" s="69">
        <v>689</v>
      </c>
      <c r="DJ15" s="69">
        <v>672</v>
      </c>
      <c r="DK15" s="69">
        <v>662</v>
      </c>
    </row>
    <row r="16" spans="1:124" ht="27" thickBot="1">
      <c r="B16" s="71" t="s">
        <v>37</v>
      </c>
      <c r="C16" s="72"/>
      <c r="D16" s="38">
        <v>211</v>
      </c>
      <c r="E16" s="39">
        <v>215.3</v>
      </c>
      <c r="F16" s="39">
        <v>215</v>
      </c>
      <c r="G16" s="39">
        <v>216.8</v>
      </c>
      <c r="H16" s="39">
        <v>217.6</v>
      </c>
      <c r="I16" s="39">
        <v>215.5</v>
      </c>
      <c r="J16" s="39">
        <v>217.3</v>
      </c>
      <c r="K16" s="39">
        <v>217.7</v>
      </c>
      <c r="L16" s="39">
        <v>222.6</v>
      </c>
      <c r="M16" s="39">
        <v>222.3</v>
      </c>
      <c r="N16" s="40">
        <v>219</v>
      </c>
      <c r="O16" s="40">
        <v>226.3</v>
      </c>
      <c r="P16" s="40">
        <v>241.6</v>
      </c>
      <c r="Q16" s="40">
        <v>254.5</v>
      </c>
      <c r="R16" s="40">
        <v>260.7</v>
      </c>
      <c r="S16" s="40">
        <v>257</v>
      </c>
      <c r="T16" s="40">
        <v>254.2</v>
      </c>
      <c r="U16" s="40">
        <v>254.5</v>
      </c>
      <c r="V16" s="40">
        <v>259</v>
      </c>
      <c r="W16" s="40">
        <v>261.3</v>
      </c>
      <c r="X16" s="40">
        <v>267.8</v>
      </c>
      <c r="Y16" s="40">
        <v>289</v>
      </c>
      <c r="Z16" s="40">
        <v>307.3</v>
      </c>
      <c r="AA16" s="41">
        <v>328</v>
      </c>
      <c r="AB16" s="59">
        <v>354.6</v>
      </c>
      <c r="AC16" s="60">
        <v>432.8</v>
      </c>
      <c r="AD16" s="59">
        <v>537.6</v>
      </c>
      <c r="AE16" s="60">
        <v>762.7</v>
      </c>
      <c r="AF16" s="59">
        <v>727.4</v>
      </c>
      <c r="AG16" s="60">
        <v>591</v>
      </c>
      <c r="AH16" s="59">
        <v>546.5</v>
      </c>
      <c r="AI16" s="60">
        <v>468.8</v>
      </c>
      <c r="AJ16" s="61">
        <v>420</v>
      </c>
      <c r="AK16" s="46">
        <v>348.3</v>
      </c>
      <c r="AL16" s="47">
        <v>307</v>
      </c>
      <c r="AM16" s="48">
        <v>287.3</v>
      </c>
      <c r="AN16" s="49">
        <v>318.60000000000002</v>
      </c>
      <c r="AO16" s="47">
        <v>316.3</v>
      </c>
      <c r="AP16" s="47">
        <v>332</v>
      </c>
      <c r="AQ16" s="47">
        <v>335.7</v>
      </c>
      <c r="AR16" s="47">
        <v>322.39999999999998</v>
      </c>
      <c r="AS16" s="47">
        <v>320.8</v>
      </c>
      <c r="AT16" s="47">
        <v>320.3</v>
      </c>
      <c r="AU16" s="47">
        <v>305.5</v>
      </c>
      <c r="AV16" s="47">
        <v>303.3</v>
      </c>
      <c r="AW16" s="47">
        <v>298.39999999999998</v>
      </c>
      <c r="AX16" s="73">
        <v>340</v>
      </c>
      <c r="AY16" s="51">
        <v>403</v>
      </c>
      <c r="AZ16" s="52">
        <v>419.8</v>
      </c>
      <c r="BA16" s="47">
        <v>405</v>
      </c>
      <c r="BB16" s="47">
        <v>377</v>
      </c>
      <c r="BC16" s="48">
        <v>343</v>
      </c>
      <c r="BD16" s="48">
        <v>329</v>
      </c>
      <c r="BE16" s="48">
        <v>329.5</v>
      </c>
      <c r="BF16" s="48">
        <v>349.8</v>
      </c>
      <c r="BG16" s="48">
        <v>369</v>
      </c>
      <c r="BH16" s="48">
        <v>412</v>
      </c>
      <c r="BI16" s="48">
        <v>428.3</v>
      </c>
      <c r="BJ16" s="51">
        <v>427.8</v>
      </c>
      <c r="BK16" s="53">
        <v>413.4</v>
      </c>
      <c r="BL16" s="53">
        <v>405</v>
      </c>
      <c r="BM16" s="53">
        <v>420.5</v>
      </c>
      <c r="BN16" s="53">
        <v>408.3</v>
      </c>
      <c r="BO16" s="53">
        <v>409</v>
      </c>
      <c r="BP16" s="53">
        <v>421.2</v>
      </c>
      <c r="BQ16" s="53">
        <v>427.5</v>
      </c>
      <c r="BR16" s="53">
        <v>449.3</v>
      </c>
      <c r="BS16" s="53">
        <v>465.3</v>
      </c>
      <c r="BT16" s="53">
        <v>514</v>
      </c>
      <c r="BU16" s="53">
        <v>490.5</v>
      </c>
      <c r="BV16" s="53">
        <v>549.9</v>
      </c>
      <c r="BW16" s="53">
        <v>544</v>
      </c>
      <c r="BX16" s="53">
        <v>516.29999999999995</v>
      </c>
      <c r="BY16" s="53">
        <v>518.29999999999995</v>
      </c>
      <c r="BZ16" s="53">
        <v>526.79999999999995</v>
      </c>
      <c r="CA16" s="53">
        <v>533.29999999999995</v>
      </c>
      <c r="CB16" s="53">
        <v>561.79999999999995</v>
      </c>
      <c r="CC16" s="53">
        <v>541.20000000000005</v>
      </c>
      <c r="CD16" s="53">
        <v>519.29999999999995</v>
      </c>
      <c r="CE16" s="53">
        <v>509</v>
      </c>
      <c r="CF16" s="53">
        <v>512</v>
      </c>
      <c r="CG16" s="53">
        <v>520.29999999999995</v>
      </c>
      <c r="CH16" s="53">
        <v>523</v>
      </c>
      <c r="CI16" s="53">
        <v>520.4</v>
      </c>
      <c r="CJ16" s="53">
        <v>530</v>
      </c>
      <c r="CK16" s="53">
        <v>535</v>
      </c>
      <c r="CL16" s="53">
        <v>532.5</v>
      </c>
      <c r="CM16" s="53">
        <v>531.29999999999995</v>
      </c>
      <c r="CN16" s="53">
        <v>510.8</v>
      </c>
      <c r="CO16" s="53">
        <v>492</v>
      </c>
      <c r="CP16" s="53">
        <v>464.8</v>
      </c>
      <c r="CQ16" s="69">
        <v>428.3</v>
      </c>
      <c r="CR16" s="69">
        <v>431.5</v>
      </c>
      <c r="CS16" s="69">
        <v>420.4</v>
      </c>
      <c r="CT16" s="69">
        <v>414.3</v>
      </c>
      <c r="CU16" s="69">
        <v>400.8</v>
      </c>
      <c r="CV16" s="69">
        <v>405</v>
      </c>
      <c r="CW16" s="70">
        <v>449.9</v>
      </c>
      <c r="CX16" s="70">
        <v>426.4</v>
      </c>
      <c r="CY16" s="70">
        <v>399.3</v>
      </c>
      <c r="CZ16" s="70">
        <v>391.6</v>
      </c>
      <c r="DA16" s="69">
        <v>402.6</v>
      </c>
      <c r="DB16" s="69">
        <v>435.6</v>
      </c>
      <c r="DC16" s="69">
        <v>460.6</v>
      </c>
      <c r="DD16" s="69">
        <v>449.9</v>
      </c>
      <c r="DE16" s="69">
        <v>437.57</v>
      </c>
      <c r="DF16" s="69">
        <v>423.8</v>
      </c>
      <c r="DG16" s="69">
        <v>421.18</v>
      </c>
      <c r="DH16" s="69">
        <v>418.55</v>
      </c>
      <c r="DI16" s="69">
        <v>417</v>
      </c>
      <c r="DJ16" s="69">
        <v>411</v>
      </c>
      <c r="DK16" s="69">
        <v>400.26</v>
      </c>
    </row>
    <row r="17" spans="1:115" ht="27" thickBot="1">
      <c r="B17" s="57" t="s">
        <v>38</v>
      </c>
      <c r="C17" s="58"/>
      <c r="D17" s="38">
        <v>102.7</v>
      </c>
      <c r="E17" s="39">
        <v>107.1</v>
      </c>
      <c r="F17" s="39">
        <v>105.3</v>
      </c>
      <c r="G17" s="39">
        <v>107.7</v>
      </c>
      <c r="H17" s="39">
        <v>110.6</v>
      </c>
      <c r="I17" s="39">
        <v>109.4</v>
      </c>
      <c r="J17" s="39">
        <v>113.99108</v>
      </c>
      <c r="K17" s="39">
        <v>116.58833200000001</v>
      </c>
      <c r="L17" s="39">
        <v>121.74554000000001</v>
      </c>
      <c r="M17" s="39">
        <v>142.19999999999999</v>
      </c>
      <c r="N17" s="40">
        <v>164.538556</v>
      </c>
      <c r="O17" s="40">
        <v>160.37538999999998</v>
      </c>
      <c r="P17" s="40">
        <v>164.8</v>
      </c>
      <c r="Q17" s="40">
        <v>177.34890747070312</v>
      </c>
      <c r="R17" s="40">
        <v>170.50674438476562</v>
      </c>
      <c r="S17" s="40">
        <v>152.74783325195312</v>
      </c>
      <c r="T17" s="40">
        <v>160.19999999999999</v>
      </c>
      <c r="U17" s="40">
        <v>165.2</v>
      </c>
      <c r="V17" s="40">
        <v>146.80000000000001</v>
      </c>
      <c r="W17" s="40">
        <v>151.19999999999999</v>
      </c>
      <c r="X17" s="40">
        <v>160.30000000000001</v>
      </c>
      <c r="Y17" s="40">
        <v>164.2</v>
      </c>
      <c r="Z17" s="40">
        <v>171.3</v>
      </c>
      <c r="AA17" s="41">
        <v>180.3</v>
      </c>
      <c r="AB17" s="59">
        <v>206.7</v>
      </c>
      <c r="AC17" s="60">
        <v>220.1</v>
      </c>
      <c r="AD17" s="59">
        <v>234.4</v>
      </c>
      <c r="AE17" s="60">
        <v>246.4</v>
      </c>
      <c r="AF17" s="59">
        <v>243.5</v>
      </c>
      <c r="AG17" s="60">
        <v>287.10000000000002</v>
      </c>
      <c r="AH17" s="59">
        <v>265.3</v>
      </c>
      <c r="AI17" s="60">
        <v>235</v>
      </c>
      <c r="AJ17" s="61">
        <v>233.8</v>
      </c>
      <c r="AK17" s="62">
        <v>183.1</v>
      </c>
      <c r="AL17" s="63">
        <v>163.80000000000001</v>
      </c>
      <c r="AM17" s="64">
        <v>158.30000000000001</v>
      </c>
      <c r="AN17" s="65">
        <v>172.8</v>
      </c>
      <c r="AO17" s="63">
        <v>163.4</v>
      </c>
      <c r="AP17" s="63">
        <v>164.6</v>
      </c>
      <c r="AQ17" s="63">
        <v>168.5</v>
      </c>
      <c r="AR17" s="63">
        <v>179.9</v>
      </c>
      <c r="AS17" s="63">
        <v>179.5</v>
      </c>
      <c r="AT17" s="63">
        <v>151.6</v>
      </c>
      <c r="AU17" s="63">
        <v>152</v>
      </c>
      <c r="AV17" s="63">
        <v>150.4</v>
      </c>
      <c r="AW17" s="63">
        <v>167.3</v>
      </c>
      <c r="AX17" s="66">
        <v>171.6</v>
      </c>
      <c r="AY17" s="67">
        <v>164.6</v>
      </c>
      <c r="AZ17" s="68">
        <v>167.3</v>
      </c>
      <c r="BA17" s="63">
        <v>161.80000000000001</v>
      </c>
      <c r="BB17" s="63">
        <v>159</v>
      </c>
      <c r="BC17" s="64">
        <v>157.1</v>
      </c>
      <c r="BD17" s="64">
        <v>163.4</v>
      </c>
      <c r="BE17" s="64">
        <v>152.69999999999999</v>
      </c>
      <c r="BF17" s="64">
        <v>163.80000000000001</v>
      </c>
      <c r="BG17" s="64">
        <v>175.6</v>
      </c>
      <c r="BH17" s="64">
        <v>205.9</v>
      </c>
      <c r="BI17" s="64">
        <v>235.8</v>
      </c>
      <c r="BJ17" s="67">
        <v>238.2</v>
      </c>
      <c r="BK17" s="69">
        <v>250.4</v>
      </c>
      <c r="BL17" s="69">
        <v>264.89999999999998</v>
      </c>
      <c r="BM17" s="69">
        <v>292.89999999999998</v>
      </c>
      <c r="BN17" s="69">
        <v>290.5</v>
      </c>
      <c r="BO17" s="69">
        <v>319.3</v>
      </c>
      <c r="BP17" s="69">
        <v>307.89999999999998</v>
      </c>
      <c r="BQ17" s="69">
        <v>310.60000000000002</v>
      </c>
      <c r="BR17" s="69">
        <v>300.8</v>
      </c>
      <c r="BS17" s="69">
        <v>310.2</v>
      </c>
      <c r="BT17" s="69">
        <v>295.3</v>
      </c>
      <c r="BU17" s="69">
        <v>274.8</v>
      </c>
      <c r="BV17" s="69">
        <v>274.39999999999998</v>
      </c>
      <c r="BW17" s="69">
        <v>258.60000000000002</v>
      </c>
      <c r="BX17" s="69">
        <v>272.8</v>
      </c>
      <c r="BY17" s="69">
        <v>279.5</v>
      </c>
      <c r="BZ17" s="69">
        <v>280.7</v>
      </c>
      <c r="CA17" s="69">
        <v>274</v>
      </c>
      <c r="CB17" s="69">
        <v>269.3</v>
      </c>
      <c r="CC17" s="69">
        <v>267.3</v>
      </c>
      <c r="CD17" s="69">
        <v>333.1</v>
      </c>
      <c r="CE17" s="69">
        <v>332</v>
      </c>
      <c r="CF17" s="69">
        <v>320.8</v>
      </c>
      <c r="CG17" s="69">
        <v>321.2</v>
      </c>
      <c r="CH17" s="69">
        <v>321.60000000000002</v>
      </c>
      <c r="CI17" s="69">
        <v>308.60000000000002</v>
      </c>
      <c r="CJ17" s="69">
        <v>303.10000000000002</v>
      </c>
      <c r="CK17" s="69">
        <v>302.7</v>
      </c>
      <c r="CL17" s="69">
        <v>309</v>
      </c>
      <c r="CM17" s="69">
        <v>279.89999999999998</v>
      </c>
      <c r="CN17" s="69">
        <v>295.5</v>
      </c>
      <c r="CO17" s="69">
        <v>298.39999999999998</v>
      </c>
      <c r="CP17" s="69">
        <v>279.5</v>
      </c>
      <c r="CQ17" s="69">
        <v>238.7</v>
      </c>
      <c r="CR17" s="69">
        <v>207.4</v>
      </c>
      <c r="CS17" s="69">
        <v>201.7</v>
      </c>
      <c r="CT17" s="69">
        <v>199.1</v>
      </c>
      <c r="CU17" s="69">
        <v>197.4</v>
      </c>
      <c r="CV17" s="69">
        <v>198.1</v>
      </c>
      <c r="CW17" s="70">
        <v>209.3</v>
      </c>
      <c r="CX17" s="70">
        <v>222.3</v>
      </c>
      <c r="CY17" s="70">
        <v>222.4</v>
      </c>
      <c r="CZ17" s="70">
        <v>217.3</v>
      </c>
      <c r="DA17" s="69">
        <v>202.4</v>
      </c>
      <c r="DB17" s="69">
        <v>182.7</v>
      </c>
      <c r="DC17" s="69">
        <v>176.4</v>
      </c>
      <c r="DD17" s="69">
        <v>163.1</v>
      </c>
      <c r="DE17" s="69">
        <v>163.12</v>
      </c>
      <c r="DF17" s="69">
        <v>178.74</v>
      </c>
      <c r="DG17" s="69">
        <v>178.73</v>
      </c>
      <c r="DH17" s="69">
        <v>174.70731040000001</v>
      </c>
      <c r="DI17" s="69">
        <v>173.6955528</v>
      </c>
      <c r="DJ17" s="69">
        <v>174.22702079999999</v>
      </c>
      <c r="DK17" s="69">
        <v>172.0539072</v>
      </c>
    </row>
    <row r="18" spans="1:115" ht="26.25">
      <c r="B18" s="57" t="s">
        <v>39</v>
      </c>
      <c r="C18" s="58"/>
      <c r="D18" s="74">
        <v>1301</v>
      </c>
      <c r="E18" s="74">
        <v>1340</v>
      </c>
      <c r="F18" s="74">
        <v>1293</v>
      </c>
      <c r="G18" s="74">
        <v>1261</v>
      </c>
      <c r="H18" s="74">
        <v>1222</v>
      </c>
      <c r="I18" s="74">
        <v>1244</v>
      </c>
      <c r="J18" s="74">
        <v>1251</v>
      </c>
      <c r="K18" s="74">
        <v>1320</v>
      </c>
      <c r="L18" s="74">
        <v>1297</v>
      </c>
      <c r="M18" s="74">
        <v>1258</v>
      </c>
      <c r="N18" s="75">
        <v>1266</v>
      </c>
      <c r="O18" s="75">
        <v>1310</v>
      </c>
      <c r="P18" s="75">
        <v>1302</v>
      </c>
      <c r="Q18" s="75">
        <v>1277</v>
      </c>
      <c r="R18" s="75">
        <v>1288</v>
      </c>
      <c r="S18" s="75">
        <v>1261</v>
      </c>
      <c r="T18" s="75">
        <v>1225</v>
      </c>
      <c r="U18" s="75">
        <v>1332</v>
      </c>
      <c r="V18" s="75">
        <v>1495</v>
      </c>
      <c r="W18" s="75">
        <v>1469</v>
      </c>
      <c r="X18" s="75">
        <v>1504</v>
      </c>
      <c r="Y18" s="75">
        <v>1519.0245</v>
      </c>
      <c r="Z18" s="75">
        <v>1536.9996600000002</v>
      </c>
      <c r="AA18" s="75">
        <v>1534.9997250000001</v>
      </c>
      <c r="AB18" s="76">
        <v>1615.9999999999998</v>
      </c>
      <c r="AC18" s="75">
        <v>1655.9999999999998</v>
      </c>
      <c r="AD18" s="75">
        <v>1768</v>
      </c>
      <c r="AE18" s="75">
        <v>1663.0000000000002</v>
      </c>
      <c r="AF18" s="75">
        <v>1634.0000000000002</v>
      </c>
      <c r="AG18" s="75">
        <v>1698</v>
      </c>
      <c r="AH18" s="75">
        <v>1705</v>
      </c>
      <c r="AI18" s="75">
        <v>1720</v>
      </c>
      <c r="AJ18" s="77">
        <v>1400</v>
      </c>
      <c r="AK18" s="62">
        <v>62.312925170068027</v>
      </c>
      <c r="AL18" s="63">
        <v>55.102040816326529</v>
      </c>
      <c r="AM18" s="64">
        <v>55.510204081632651</v>
      </c>
      <c r="AN18" s="65">
        <v>57.687074829931973</v>
      </c>
      <c r="AO18" s="63">
        <v>47.165532879818592</v>
      </c>
      <c r="AP18" s="63">
        <v>51.519274376417229</v>
      </c>
      <c r="AQ18" s="63">
        <v>56.780045351473923</v>
      </c>
      <c r="AR18" s="63">
        <v>61.995464852607711</v>
      </c>
      <c r="AS18" s="63">
        <v>61.405895691609977</v>
      </c>
      <c r="AT18" s="63">
        <v>64.807256235827666</v>
      </c>
      <c r="AU18" s="63">
        <v>64.308390022675738</v>
      </c>
      <c r="AV18" s="63">
        <v>64.08163265306122</v>
      </c>
      <c r="AW18" s="63">
        <v>66.802721088435376</v>
      </c>
      <c r="AX18" s="66">
        <v>71.791383219954639</v>
      </c>
      <c r="AY18" s="67">
        <v>76.780045351473916</v>
      </c>
      <c r="AZ18" s="68">
        <v>77.414965986394549</v>
      </c>
      <c r="BA18" s="63">
        <v>80.090702947845799</v>
      </c>
      <c r="BB18" s="63">
        <v>85.804988662131521</v>
      </c>
      <c r="BC18" s="64">
        <v>88.117913832199548</v>
      </c>
      <c r="BD18" s="64">
        <v>90.113378684807259</v>
      </c>
      <c r="BE18" s="64">
        <v>91.700680272108841</v>
      </c>
      <c r="BF18" s="64">
        <v>84.217687074829925</v>
      </c>
      <c r="BG18" s="64">
        <v>90.385487528344669</v>
      </c>
      <c r="BH18" s="64">
        <v>104.71655328798185</v>
      </c>
      <c r="BI18" s="64">
        <v>126.62131519274377</v>
      </c>
      <c r="BJ18" s="67">
        <v>155.51020408163265</v>
      </c>
      <c r="BK18" s="69">
        <v>168.20861678004533</v>
      </c>
      <c r="BL18" s="69">
        <v>178.91156462585033</v>
      </c>
      <c r="BM18" s="69">
        <v>213.19727891156461</v>
      </c>
      <c r="BN18" s="69">
        <v>229.70521541950112</v>
      </c>
      <c r="BO18" s="69">
        <v>216.59863945578232</v>
      </c>
      <c r="BP18" s="69">
        <v>165.4875283446712</v>
      </c>
      <c r="BQ18" s="69">
        <v>167.16553287981858</v>
      </c>
      <c r="BR18" s="69">
        <v>140.4643990929705</v>
      </c>
      <c r="BS18" s="69">
        <v>114.05895691609977</v>
      </c>
      <c r="BT18" s="69">
        <v>117.05215419501134</v>
      </c>
      <c r="BU18" s="69">
        <v>110.61224489795919</v>
      </c>
      <c r="BV18" s="69">
        <v>104.67120181405896</v>
      </c>
      <c r="BW18" s="69">
        <v>91.882086167800452</v>
      </c>
      <c r="BX18" s="69">
        <v>101.08843537414965</v>
      </c>
      <c r="BY18" s="69">
        <v>100.54421768707482</v>
      </c>
      <c r="BZ18" s="69">
        <v>99.501133786848072</v>
      </c>
      <c r="CA18" s="69">
        <v>99.909297052154187</v>
      </c>
      <c r="CB18" s="69">
        <v>88.526077097505663</v>
      </c>
      <c r="CC18" s="69">
        <v>82.222222222222214</v>
      </c>
      <c r="CD18" s="69">
        <v>83.990929705215422</v>
      </c>
      <c r="CE18" s="69">
        <v>84.399092970521536</v>
      </c>
      <c r="CF18" s="69">
        <v>84.217687074829925</v>
      </c>
      <c r="CG18" s="69">
        <v>81.995464852607711</v>
      </c>
      <c r="CH18" s="69">
        <v>80.902494331065768</v>
      </c>
      <c r="CI18" s="69">
        <v>83.402721088435371</v>
      </c>
      <c r="CJ18" s="69">
        <v>85.502947845804982</v>
      </c>
      <c r="CK18" s="69">
        <v>89.702947845804985</v>
      </c>
      <c r="CL18" s="69">
        <v>94.403174603174605</v>
      </c>
      <c r="CM18" s="69">
        <v>92.603174603174608</v>
      </c>
      <c r="CN18" s="69">
        <v>92.603174603174608</v>
      </c>
      <c r="CO18" s="69">
        <v>93.102040816326536</v>
      </c>
      <c r="CP18" s="69">
        <v>92.603174603174608</v>
      </c>
      <c r="CQ18" s="69">
        <v>92.702947845804985</v>
      </c>
      <c r="CR18" s="69">
        <v>90.104308390022666</v>
      </c>
      <c r="CS18" s="69">
        <v>89.30158730158729</v>
      </c>
      <c r="CT18" s="69">
        <v>84.603174603174594</v>
      </c>
      <c r="CU18" s="69">
        <v>87.501133786848072</v>
      </c>
      <c r="CV18" s="69">
        <v>91.002267573696145</v>
      </c>
      <c r="CW18" s="70">
        <v>94.104308390022666</v>
      </c>
      <c r="CX18" s="70">
        <v>96.902494331065753</v>
      </c>
      <c r="CY18" s="70">
        <v>94.204081632653043</v>
      </c>
      <c r="CZ18" s="70">
        <v>92.702947845804985</v>
      </c>
      <c r="DA18" s="69">
        <v>90.902494331065768</v>
      </c>
      <c r="DB18" s="69">
        <v>83.804988662131521</v>
      </c>
      <c r="DC18" s="69">
        <v>74.004535147392289</v>
      </c>
      <c r="DD18" s="69">
        <v>73.367346938775512</v>
      </c>
      <c r="DE18" s="69">
        <v>70.32743764172335</v>
      </c>
      <c r="DF18" s="69">
        <v>67.51791383219954</v>
      </c>
      <c r="DG18" s="69">
        <v>68.287981859410422</v>
      </c>
      <c r="DH18" s="69">
        <v>67.338393197278918</v>
      </c>
      <c r="DI18" s="69">
        <v>69.827964081632643</v>
      </c>
      <c r="DJ18" s="69">
        <v>69.338048526077102</v>
      </c>
      <c r="DK18" s="69">
        <v>71.687643537414957</v>
      </c>
    </row>
    <row r="19" spans="1:115" ht="27" thickBot="1">
      <c r="B19" s="57" t="s">
        <v>40</v>
      </c>
      <c r="C19" s="58"/>
      <c r="D19" s="38">
        <v>42</v>
      </c>
      <c r="E19" s="39">
        <v>42</v>
      </c>
      <c r="F19" s="39">
        <v>43</v>
      </c>
      <c r="G19" s="39">
        <v>43</v>
      </c>
      <c r="H19" s="39">
        <v>43</v>
      </c>
      <c r="I19" s="39">
        <v>44.5</v>
      </c>
      <c r="J19" s="39">
        <v>45.5</v>
      </c>
      <c r="K19" s="39">
        <v>45.5</v>
      </c>
      <c r="L19" s="39">
        <v>45.5</v>
      </c>
      <c r="M19" s="39">
        <v>45.5</v>
      </c>
      <c r="N19" s="40">
        <v>45.5</v>
      </c>
      <c r="O19" s="40">
        <v>45.5</v>
      </c>
      <c r="P19" s="40">
        <v>45.5</v>
      </c>
      <c r="Q19" s="40">
        <v>45.5</v>
      </c>
      <c r="R19" s="40">
        <v>45.5</v>
      </c>
      <c r="S19" s="40">
        <v>45.5</v>
      </c>
      <c r="T19" s="40">
        <v>54.1</v>
      </c>
      <c r="U19" s="40">
        <v>80</v>
      </c>
      <c r="V19" s="40">
        <v>80</v>
      </c>
      <c r="W19" s="40">
        <v>80</v>
      </c>
      <c r="X19" s="40">
        <v>80</v>
      </c>
      <c r="Y19" s="40">
        <v>80</v>
      </c>
      <c r="Z19" s="40">
        <v>80</v>
      </c>
      <c r="AA19" s="41">
        <v>135</v>
      </c>
      <c r="AB19" s="59">
        <v>190</v>
      </c>
      <c r="AC19" s="60">
        <v>190</v>
      </c>
      <c r="AD19" s="59">
        <v>321.10000000000002</v>
      </c>
      <c r="AE19" s="60">
        <v>367.5</v>
      </c>
      <c r="AF19" s="59">
        <v>367.5</v>
      </c>
      <c r="AG19" s="60">
        <v>367.5</v>
      </c>
      <c r="AH19" s="59">
        <v>367.5</v>
      </c>
      <c r="AI19" s="60">
        <v>430</v>
      </c>
      <c r="AJ19" s="61">
        <v>430</v>
      </c>
      <c r="AK19" s="62">
        <v>414</v>
      </c>
      <c r="AL19" s="63">
        <v>350</v>
      </c>
      <c r="AM19" s="64">
        <v>350</v>
      </c>
      <c r="AN19" s="65">
        <v>265</v>
      </c>
      <c r="AO19" s="63">
        <v>157.5</v>
      </c>
      <c r="AP19" s="63">
        <v>157.5</v>
      </c>
      <c r="AQ19" s="63">
        <v>125.5</v>
      </c>
      <c r="AR19" s="63">
        <v>117.5</v>
      </c>
      <c r="AS19" s="63">
        <v>96.9</v>
      </c>
      <c r="AT19" s="63">
        <v>90</v>
      </c>
      <c r="AU19" s="63">
        <v>90</v>
      </c>
      <c r="AV19" s="63">
        <v>90</v>
      </c>
      <c r="AW19" s="63">
        <v>90</v>
      </c>
      <c r="AX19" s="66">
        <v>90</v>
      </c>
      <c r="AY19" s="67">
        <v>90</v>
      </c>
      <c r="AZ19" s="68">
        <v>97.5</v>
      </c>
      <c r="BA19" s="63">
        <v>103.8</v>
      </c>
      <c r="BB19" s="63">
        <v>105</v>
      </c>
      <c r="BC19" s="64">
        <v>125</v>
      </c>
      <c r="BD19" s="64">
        <v>125</v>
      </c>
      <c r="BE19" s="64">
        <v>125</v>
      </c>
      <c r="BF19" s="64">
        <v>125</v>
      </c>
      <c r="BG19" s="64">
        <v>125</v>
      </c>
      <c r="BH19" s="64">
        <v>125</v>
      </c>
      <c r="BI19" s="64">
        <v>140</v>
      </c>
      <c r="BJ19" s="67">
        <v>140</v>
      </c>
      <c r="BK19" s="69">
        <v>140</v>
      </c>
      <c r="BL19" s="69">
        <v>155</v>
      </c>
      <c r="BM19" s="69">
        <v>160</v>
      </c>
      <c r="BN19" s="69">
        <v>160</v>
      </c>
      <c r="BO19" s="69">
        <v>182.5</v>
      </c>
      <c r="BP19" s="69">
        <v>182.5</v>
      </c>
      <c r="BQ19" s="69">
        <v>182.5</v>
      </c>
      <c r="BR19" s="69">
        <v>197.5</v>
      </c>
      <c r="BS19" s="69">
        <v>197.5</v>
      </c>
      <c r="BT19" s="69">
        <v>197.5</v>
      </c>
      <c r="BU19" s="69">
        <v>198.8</v>
      </c>
      <c r="BV19" s="69">
        <v>202.5</v>
      </c>
      <c r="BW19" s="69">
        <v>202.5</v>
      </c>
      <c r="BX19" s="69">
        <v>202.5</v>
      </c>
      <c r="BY19" s="69">
        <v>192.5</v>
      </c>
      <c r="BZ19" s="69">
        <v>192.5</v>
      </c>
      <c r="CA19" s="69">
        <v>188.1</v>
      </c>
      <c r="CB19" s="69">
        <v>175</v>
      </c>
      <c r="CC19" s="69">
        <v>175</v>
      </c>
      <c r="CD19" s="69">
        <v>180</v>
      </c>
      <c r="CE19" s="69">
        <v>185</v>
      </c>
      <c r="CF19" s="69">
        <v>185</v>
      </c>
      <c r="CG19" s="69">
        <v>185</v>
      </c>
      <c r="CH19" s="69">
        <v>185</v>
      </c>
      <c r="CI19" s="69">
        <v>185</v>
      </c>
      <c r="CJ19" s="69">
        <v>179</v>
      </c>
      <c r="CK19" s="69">
        <v>170</v>
      </c>
      <c r="CL19" s="69">
        <v>170</v>
      </c>
      <c r="CM19" s="69">
        <v>167.5</v>
      </c>
      <c r="CN19" s="69">
        <v>165</v>
      </c>
      <c r="CO19" s="69">
        <v>165</v>
      </c>
      <c r="CP19" s="69">
        <v>157</v>
      </c>
      <c r="CQ19" s="69">
        <v>145</v>
      </c>
      <c r="CR19" s="69">
        <v>127.5</v>
      </c>
      <c r="CS19" s="69">
        <v>120.6</v>
      </c>
      <c r="CT19" s="69">
        <v>108.5</v>
      </c>
      <c r="CU19" s="69">
        <v>101</v>
      </c>
      <c r="CV19" s="69">
        <v>102.2</v>
      </c>
      <c r="CW19" s="70">
        <v>103</v>
      </c>
      <c r="CX19" s="70">
        <v>108</v>
      </c>
      <c r="CY19" s="70">
        <v>108</v>
      </c>
      <c r="CZ19" s="70">
        <v>112</v>
      </c>
      <c r="DA19" s="69">
        <v>110</v>
      </c>
      <c r="DB19" s="69">
        <v>110</v>
      </c>
      <c r="DC19" s="69">
        <v>110</v>
      </c>
      <c r="DD19" s="69">
        <v>115</v>
      </c>
      <c r="DE19" s="69">
        <v>115</v>
      </c>
      <c r="DF19" s="69">
        <v>115</v>
      </c>
      <c r="DG19" s="69">
        <v>115</v>
      </c>
      <c r="DH19" s="69">
        <v>115</v>
      </c>
      <c r="DI19" s="69">
        <v>115</v>
      </c>
      <c r="DJ19" s="69">
        <v>115</v>
      </c>
      <c r="DK19" s="69">
        <v>115</v>
      </c>
    </row>
    <row r="20" spans="1:115" ht="27" thickBot="1">
      <c r="A20" s="1">
        <v>51</v>
      </c>
      <c r="B20" s="78" t="s">
        <v>41</v>
      </c>
      <c r="C20" s="79"/>
      <c r="D20" s="80">
        <v>63.6</v>
      </c>
      <c r="E20" s="81">
        <v>59.9</v>
      </c>
      <c r="F20" s="81">
        <v>62.3</v>
      </c>
      <c r="G20" s="81">
        <v>70.400000000000006</v>
      </c>
      <c r="H20" s="81">
        <v>70.2</v>
      </c>
      <c r="I20" s="81">
        <v>68.900000000000006</v>
      </c>
      <c r="J20" s="81">
        <v>74</v>
      </c>
      <c r="K20" s="81">
        <v>73.599999999999994</v>
      </c>
      <c r="L20" s="81">
        <v>63.575666666666663</v>
      </c>
      <c r="M20" s="81">
        <v>59.629999999999995</v>
      </c>
      <c r="N20" s="82">
        <v>58.633999999999972</v>
      </c>
      <c r="O20" s="82">
        <v>62.236666666666679</v>
      </c>
      <c r="P20" s="82">
        <v>54.3</v>
      </c>
      <c r="Q20" s="82">
        <v>57.76</v>
      </c>
      <c r="R20" s="82">
        <v>62.14</v>
      </c>
      <c r="S20" s="82">
        <v>67.400000000000006</v>
      </c>
      <c r="T20" s="82">
        <v>67.48</v>
      </c>
      <c r="U20" s="82">
        <v>71.319999999999993</v>
      </c>
      <c r="V20" s="82">
        <v>77.2</v>
      </c>
      <c r="W20" s="82">
        <v>70.8</v>
      </c>
      <c r="X20" s="82">
        <v>77.13</v>
      </c>
      <c r="Y20" s="82">
        <v>82.86</v>
      </c>
      <c r="Z20" s="82">
        <v>92.67</v>
      </c>
      <c r="AA20" s="83">
        <v>91.45</v>
      </c>
      <c r="AB20" s="59">
        <v>91.92</v>
      </c>
      <c r="AC20" s="60">
        <v>94.82</v>
      </c>
      <c r="AD20" s="59">
        <v>103.89725806451611</v>
      </c>
      <c r="AE20" s="60">
        <v>110.16199999999999</v>
      </c>
      <c r="AF20" s="59">
        <v>124.4</v>
      </c>
      <c r="AG20" s="60">
        <v>134.38833333333332</v>
      </c>
      <c r="AH20" s="59">
        <v>135.33032258064515</v>
      </c>
      <c r="AI20" s="60">
        <v>115.42903225806454</v>
      </c>
      <c r="AJ20" s="61">
        <v>101.35966666666666</v>
      </c>
      <c r="AK20" s="62">
        <v>74.280645161290323</v>
      </c>
      <c r="AL20" s="63">
        <v>54.859666666666662</v>
      </c>
      <c r="AM20" s="64">
        <v>42.72511051343286</v>
      </c>
      <c r="AN20" s="65">
        <v>45.54</v>
      </c>
      <c r="AO20" s="63">
        <v>43.881071428571438</v>
      </c>
      <c r="AP20" s="63">
        <v>47.420645161290309</v>
      </c>
      <c r="AQ20" s="63">
        <v>51.584262546666643</v>
      </c>
      <c r="AR20" s="63">
        <v>58.291820580645165</v>
      </c>
      <c r="AS20" s="63">
        <v>69.359666666666669</v>
      </c>
      <c r="AT20" s="63">
        <v>65.408709677419353</v>
      </c>
      <c r="AU20" s="63">
        <v>72.858064516129019</v>
      </c>
      <c r="AV20" s="63">
        <v>68.153999999999982</v>
      </c>
      <c r="AW20" s="63">
        <v>73.604838709677438</v>
      </c>
      <c r="AX20" s="66">
        <v>77.11966666666666</v>
      </c>
      <c r="AY20" s="67">
        <v>75.252258064516155</v>
      </c>
      <c r="AZ20" s="68">
        <v>76.976451612903219</v>
      </c>
      <c r="BA20" s="63">
        <v>74.551428571428573</v>
      </c>
      <c r="BB20" s="63">
        <v>79.976129032258086</v>
      </c>
      <c r="BC20" s="64">
        <v>85.453333333333347</v>
      </c>
      <c r="BD20" s="64">
        <v>77.551942438561468</v>
      </c>
      <c r="BE20" s="64">
        <v>75.795666666666662</v>
      </c>
      <c r="BF20" s="64">
        <v>75.384193548387103</v>
      </c>
      <c r="BG20" s="64">
        <v>77.011935483870928</v>
      </c>
      <c r="BH20" s="64">
        <v>78.138999999999996</v>
      </c>
      <c r="BI20" s="64">
        <v>83.515483870967756</v>
      </c>
      <c r="BJ20" s="67">
        <v>86.150388997523152</v>
      </c>
      <c r="BK20" s="69">
        <v>91.874072827031753</v>
      </c>
      <c r="BL20" s="69">
        <v>96.469354838709691</v>
      </c>
      <c r="BM20" s="69">
        <v>104.25999999999999</v>
      </c>
      <c r="BN20" s="69">
        <v>114.71645161290324</v>
      </c>
      <c r="BO20" s="69">
        <v>108.89</v>
      </c>
      <c r="BP20" s="69">
        <v>114.41903225806449</v>
      </c>
      <c r="BQ20" s="69">
        <v>113.47291845922965</v>
      </c>
      <c r="BR20" s="69">
        <v>116.36387096774192</v>
      </c>
      <c r="BS20" s="69">
        <v>109.67451612903228</v>
      </c>
      <c r="BT20" s="69">
        <v>110.33233333333334</v>
      </c>
      <c r="BU20" s="69">
        <v>108.44709677419358</v>
      </c>
      <c r="BV20" s="69">
        <v>110.27133333333332</v>
      </c>
      <c r="BW20" s="69">
        <v>107.59677419354841</v>
      </c>
      <c r="BX20" s="69">
        <v>111.12773349976496</v>
      </c>
      <c r="BY20" s="69">
        <v>118.57068965517242</v>
      </c>
      <c r="BZ20" s="69">
        <v>124.53219963280061</v>
      </c>
      <c r="CA20" s="69">
        <v>120.60833333333332</v>
      </c>
      <c r="CB20" s="69">
        <v>110.13420762179031</v>
      </c>
      <c r="CC20" s="69">
        <v>96.193740809603042</v>
      </c>
      <c r="CD20" s="69">
        <v>102.36295179890769</v>
      </c>
      <c r="CE20" s="69">
        <v>112.45572321282599</v>
      </c>
      <c r="CF20" s="69">
        <v>113.15645114029805</v>
      </c>
      <c r="CG20" s="69">
        <v>111.49263438655034</v>
      </c>
      <c r="CH20" s="69">
        <v>108.97539326438611</v>
      </c>
      <c r="CI20" s="69">
        <v>109.16030173461787</v>
      </c>
      <c r="CJ20" s="69">
        <v>111.85118859247815</v>
      </c>
      <c r="CK20" s="69">
        <v>116.22810125494242</v>
      </c>
      <c r="CL20" s="69">
        <v>109.3479917535775</v>
      </c>
      <c r="CM20" s="69">
        <v>102.91</v>
      </c>
      <c r="CN20" s="69">
        <v>102.95567550303419</v>
      </c>
      <c r="CO20" s="69">
        <v>103.20966666666669</v>
      </c>
      <c r="CP20" s="69">
        <v>107.27129032258064</v>
      </c>
      <c r="CQ20" s="69">
        <v>110.10232617046459</v>
      </c>
      <c r="CR20" s="69">
        <v>111.26586094316805</v>
      </c>
      <c r="CS20" s="69">
        <v>109.1840314270006</v>
      </c>
      <c r="CT20" s="69">
        <v>107.80480725145959</v>
      </c>
      <c r="CU20" s="69">
        <v>110.6004777460188</v>
      </c>
      <c r="CV20" s="69">
        <v>107.22820047457192</v>
      </c>
      <c r="CW20" s="70">
        <v>108.59642857142858</v>
      </c>
      <c r="CX20" s="70">
        <v>107.85353130642721</v>
      </c>
      <c r="CY20" s="70">
        <v>108.14433333333334</v>
      </c>
      <c r="CZ20" s="70">
        <v>109.10684396458025</v>
      </c>
      <c r="DA20" s="69">
        <v>111.88020846337126</v>
      </c>
      <c r="DB20" s="69">
        <v>108.2901564827209</v>
      </c>
      <c r="DC20" s="69">
        <v>103.59884579431589</v>
      </c>
      <c r="DD20" s="69">
        <v>98.476750992992166</v>
      </c>
      <c r="DE20" s="69">
        <v>88.105483870967745</v>
      </c>
      <c r="DF20" s="69">
        <v>80.171333333333365</v>
      </c>
      <c r="DG20" s="69">
        <v>63.047149394058067</v>
      </c>
      <c r="DH20" s="69">
        <v>50.181290322580637</v>
      </c>
      <c r="DI20" s="69">
        <v>58.747963298972067</v>
      </c>
      <c r="DJ20" s="69">
        <v>57.173452543301792</v>
      </c>
      <c r="DK20" s="69">
        <v>60.76100000000001</v>
      </c>
    </row>
    <row r="21" spans="1:115" ht="27" hidden="1" thickBot="1">
      <c r="B21" s="84" t="s">
        <v>42</v>
      </c>
      <c r="C21" s="85"/>
      <c r="D21" s="39">
        <v>58.27</v>
      </c>
      <c r="E21" s="39">
        <v>59.59</v>
      </c>
      <c r="F21" s="39">
        <v>57.48</v>
      </c>
      <c r="G21" s="39">
        <v>56.39</v>
      </c>
      <c r="H21" s="39">
        <v>54.5</v>
      </c>
      <c r="I21" s="39">
        <v>55.88</v>
      </c>
      <c r="J21" s="39">
        <v>56.39</v>
      </c>
      <c r="K21" s="86">
        <v>60.19</v>
      </c>
      <c r="L21" s="39">
        <v>59.5</v>
      </c>
      <c r="M21" s="39">
        <v>58.03</v>
      </c>
      <c r="N21" s="40">
        <v>58.25</v>
      </c>
      <c r="O21" s="40">
        <v>61.59</v>
      </c>
      <c r="P21" s="40">
        <v>60.48</v>
      </c>
      <c r="Q21" s="40">
        <v>59.41</v>
      </c>
      <c r="R21" s="40">
        <v>59.88</v>
      </c>
      <c r="S21" s="40">
        <v>58.89</v>
      </c>
      <c r="T21" s="40">
        <v>55.56</v>
      </c>
      <c r="U21" s="40">
        <v>60.41</v>
      </c>
      <c r="V21" s="40">
        <v>67.8</v>
      </c>
      <c r="W21" s="40">
        <v>64.72</v>
      </c>
      <c r="X21" s="40"/>
      <c r="Y21" s="40"/>
      <c r="Z21" s="40"/>
      <c r="AA21" s="41"/>
      <c r="AB21" s="40"/>
      <c r="AC21" s="87"/>
      <c r="AD21" s="40"/>
      <c r="AE21" s="87"/>
      <c r="AF21" s="40"/>
      <c r="AG21" s="87"/>
      <c r="AH21" s="40"/>
      <c r="AI21" s="87"/>
      <c r="AJ21" s="88"/>
      <c r="AK21" s="89"/>
      <c r="AL21" s="90"/>
      <c r="AM21" s="91"/>
      <c r="AN21" s="89"/>
      <c r="AO21" s="90"/>
      <c r="AP21" s="90"/>
      <c r="AQ21" s="90"/>
      <c r="AR21" s="90"/>
      <c r="AS21" s="90"/>
      <c r="AT21" s="90"/>
      <c r="AU21" s="90"/>
      <c r="AV21" s="90">
        <v>69.359666666666669</v>
      </c>
      <c r="AW21" s="90">
        <v>65.408709677419353</v>
      </c>
      <c r="AX21" s="92">
        <v>72.858064516129019</v>
      </c>
      <c r="AY21" s="93"/>
      <c r="AZ21" s="94"/>
      <c r="BA21" s="90"/>
      <c r="BB21" s="90"/>
      <c r="BC21" s="91"/>
      <c r="BD21" s="91"/>
      <c r="BE21" s="91"/>
      <c r="BF21" s="91"/>
      <c r="BG21" s="91"/>
      <c r="BH21" s="91"/>
      <c r="BI21" s="91"/>
      <c r="BJ21" s="93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6"/>
      <c r="CX21" s="96"/>
      <c r="CY21" s="96"/>
      <c r="CZ21" s="96"/>
      <c r="DA21" s="95"/>
      <c r="DB21" s="95"/>
      <c r="DC21" s="95"/>
      <c r="DD21" s="95"/>
      <c r="DE21" s="95"/>
      <c r="DF21" s="95"/>
      <c r="DG21" s="95"/>
      <c r="DH21" s="95"/>
      <c r="DI21" s="95"/>
      <c r="DJ21" s="95"/>
      <c r="DK21" s="95"/>
    </row>
    <row r="22" spans="1:115" ht="27" thickBot="1">
      <c r="B22" s="97" t="s">
        <v>43</v>
      </c>
      <c r="C22" s="98"/>
      <c r="D22" s="99"/>
      <c r="E22" s="99"/>
      <c r="F22" s="99"/>
      <c r="G22" s="99"/>
      <c r="H22" s="99"/>
      <c r="I22" s="99"/>
      <c r="J22" s="99"/>
      <c r="K22" s="100"/>
      <c r="L22" s="99"/>
      <c r="M22" s="99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2"/>
      <c r="AB22" s="101"/>
      <c r="AC22" s="103"/>
      <c r="AD22" s="101"/>
      <c r="AE22" s="103"/>
      <c r="AF22" s="101"/>
      <c r="AG22" s="103"/>
      <c r="AH22" s="101"/>
      <c r="AI22" s="103"/>
      <c r="AJ22" s="104"/>
      <c r="AK22" s="105"/>
      <c r="AL22" s="106"/>
      <c r="AM22" s="107"/>
      <c r="AN22" s="105"/>
      <c r="AO22" s="106"/>
      <c r="AP22" s="106"/>
      <c r="AQ22" s="106"/>
      <c r="AR22" s="106"/>
      <c r="AS22" s="106"/>
      <c r="AT22" s="106"/>
      <c r="AU22" s="106"/>
      <c r="AV22" s="106"/>
      <c r="AW22" s="106"/>
      <c r="AX22" s="108"/>
      <c r="AY22" s="109"/>
      <c r="AZ22" s="110"/>
      <c r="BA22" s="106"/>
      <c r="BB22" s="106"/>
      <c r="BC22" s="107"/>
      <c r="BD22" s="107"/>
      <c r="BE22" s="107"/>
      <c r="BF22" s="107"/>
      <c r="BG22" s="107"/>
      <c r="BH22" s="107"/>
      <c r="BI22" s="107"/>
      <c r="BJ22" s="109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111"/>
      <c r="CT22" s="111"/>
      <c r="CU22" s="111"/>
      <c r="CV22" s="111"/>
      <c r="CW22" s="112"/>
      <c r="CX22" s="112"/>
      <c r="CY22" s="112"/>
      <c r="CZ22" s="112"/>
      <c r="DA22" s="111"/>
      <c r="DB22" s="111"/>
      <c r="DC22" s="111"/>
      <c r="DD22" s="111"/>
      <c r="DE22" s="111"/>
      <c r="DF22" s="111"/>
      <c r="DG22" s="111"/>
      <c r="DH22" s="111"/>
      <c r="DI22" s="111"/>
      <c r="DJ22" s="111"/>
      <c r="DK22" s="111"/>
    </row>
    <row r="23" spans="1:115" ht="26.25">
      <c r="A23" s="1">
        <v>53</v>
      </c>
      <c r="B23" s="113" t="s">
        <v>44</v>
      </c>
      <c r="C23" s="114"/>
      <c r="D23" s="115">
        <v>784.44989237024629</v>
      </c>
      <c r="E23" s="115">
        <v>788.88394467829221</v>
      </c>
      <c r="F23" s="115">
        <v>785.38912835249039</v>
      </c>
      <c r="G23" s="115">
        <v>776.09678182678658</v>
      </c>
      <c r="H23" s="115">
        <v>765.14289047008049</v>
      </c>
      <c r="I23" s="115">
        <v>766.48399158681934</v>
      </c>
      <c r="J23" s="115">
        <v>764.3</v>
      </c>
      <c r="K23" s="115">
        <v>761.4</v>
      </c>
      <c r="L23" s="115">
        <v>757</v>
      </c>
      <c r="M23" s="115">
        <v>766.48399158681934</v>
      </c>
      <c r="N23" s="116">
        <v>767.5602621109291</v>
      </c>
      <c r="O23" s="116">
        <v>748.6</v>
      </c>
      <c r="P23" s="116">
        <v>754.4</v>
      </c>
      <c r="Q23" s="116">
        <v>751.21049015116807</v>
      </c>
      <c r="R23" s="116">
        <v>742.9</v>
      </c>
      <c r="S23" s="116">
        <v>737.6</v>
      </c>
      <c r="T23" s="116">
        <v>736.7</v>
      </c>
      <c r="U23" s="116">
        <v>738.8567244874971</v>
      </c>
      <c r="V23" s="116">
        <v>731.3</v>
      </c>
      <c r="W23" s="116">
        <v>736.5</v>
      </c>
      <c r="X23" s="116">
        <v>724.2</v>
      </c>
      <c r="Y23" s="116">
        <v>718.5</v>
      </c>
      <c r="Z23" s="116">
        <v>708.7</v>
      </c>
      <c r="AA23" s="117">
        <v>709</v>
      </c>
      <c r="AB23" s="118">
        <v>706</v>
      </c>
      <c r="AC23" s="119">
        <v>705.4</v>
      </c>
      <c r="AD23" s="118">
        <v>689.7</v>
      </c>
      <c r="AE23" s="119">
        <v>681.7</v>
      </c>
      <c r="AF23" s="118">
        <v>686.9</v>
      </c>
      <c r="AG23" s="119">
        <v>669.1</v>
      </c>
      <c r="AH23" s="118">
        <v>678</v>
      </c>
      <c r="AI23" s="119">
        <v>676</v>
      </c>
      <c r="AJ23" s="120">
        <v>697</v>
      </c>
      <c r="AK23" s="121">
        <v>746.8</v>
      </c>
      <c r="AL23" s="122">
        <v>764.1</v>
      </c>
      <c r="AM23" s="123">
        <v>732.4</v>
      </c>
      <c r="AN23" s="124">
        <v>684.5</v>
      </c>
      <c r="AO23" s="122">
        <v>762.3</v>
      </c>
      <c r="AP23" s="122">
        <v>746.2</v>
      </c>
      <c r="AQ23" s="122">
        <v>743.1</v>
      </c>
      <c r="AR23" s="122">
        <v>732</v>
      </c>
      <c r="AS23" s="122">
        <v>723</v>
      </c>
      <c r="AT23" s="122">
        <v>722</v>
      </c>
      <c r="AU23" s="122">
        <v>717.4</v>
      </c>
      <c r="AV23" s="122">
        <v>710.8</v>
      </c>
      <c r="AW23" s="122">
        <v>703.8</v>
      </c>
      <c r="AX23" s="125">
        <v>702.37</v>
      </c>
      <c r="AY23" s="126">
        <v>710.91772151898738</v>
      </c>
      <c r="AZ23" s="127">
        <v>719.4</v>
      </c>
      <c r="BA23" s="128">
        <v>737.2</v>
      </c>
      <c r="BB23" s="128">
        <v>737.1</v>
      </c>
      <c r="BC23" s="129">
        <v>742.3</v>
      </c>
      <c r="BD23" s="129">
        <v>772.9</v>
      </c>
      <c r="BE23" s="129">
        <v>789</v>
      </c>
      <c r="BF23" s="129">
        <v>772.2</v>
      </c>
      <c r="BG23" s="129">
        <v>772.3</v>
      </c>
      <c r="BH23" s="129">
        <v>766.4</v>
      </c>
      <c r="BI23" s="129">
        <v>741</v>
      </c>
      <c r="BJ23" s="126">
        <v>744</v>
      </c>
      <c r="BK23" s="130">
        <v>753</v>
      </c>
      <c r="BL23" s="130">
        <v>753.7</v>
      </c>
      <c r="BM23" s="130">
        <v>746.8</v>
      </c>
      <c r="BN23" s="130">
        <v>738.6</v>
      </c>
      <c r="BO23" s="130">
        <v>728.6</v>
      </c>
      <c r="BP23" s="130">
        <v>730.7</v>
      </c>
      <c r="BQ23" s="130">
        <v>729.6</v>
      </c>
      <c r="BR23" s="130">
        <v>732.9</v>
      </c>
      <c r="BS23" s="130">
        <v>730.8</v>
      </c>
      <c r="BT23" s="130">
        <v>744.3</v>
      </c>
      <c r="BU23" s="130">
        <v>745.6</v>
      </c>
      <c r="BV23" s="130">
        <v>749.1</v>
      </c>
      <c r="BW23" s="130">
        <v>751</v>
      </c>
      <c r="BX23" s="130">
        <v>765</v>
      </c>
      <c r="BY23" s="130">
        <v>757</v>
      </c>
      <c r="BZ23" s="130">
        <v>757</v>
      </c>
      <c r="CA23" s="130">
        <v>759</v>
      </c>
      <c r="CB23" s="130">
        <v>766</v>
      </c>
      <c r="CC23" s="130">
        <v>775</v>
      </c>
      <c r="CD23" s="130">
        <v>780</v>
      </c>
      <c r="CE23" s="130">
        <v>778</v>
      </c>
      <c r="CF23" s="130">
        <v>766</v>
      </c>
      <c r="CG23" s="130">
        <v>763</v>
      </c>
      <c r="CH23" s="130">
        <v>767</v>
      </c>
      <c r="CI23" s="130">
        <v>760</v>
      </c>
      <c r="CJ23" s="130">
        <v>755.5</v>
      </c>
      <c r="CK23" s="130">
        <v>753.7</v>
      </c>
      <c r="CL23" s="130">
        <v>763.5</v>
      </c>
      <c r="CM23" s="130">
        <v>762.1</v>
      </c>
      <c r="CN23" s="130">
        <v>762.8</v>
      </c>
      <c r="CO23" s="130">
        <v>757.8</v>
      </c>
      <c r="CP23" s="130">
        <v>760.5</v>
      </c>
      <c r="CQ23" s="130">
        <v>747.3</v>
      </c>
      <c r="CR23" s="130">
        <v>754</v>
      </c>
      <c r="CS23" s="130">
        <v>747.2</v>
      </c>
      <c r="CT23" s="130">
        <v>750.5</v>
      </c>
      <c r="CU23" s="130">
        <v>751.5</v>
      </c>
      <c r="CV23" s="130">
        <v>739.7</v>
      </c>
      <c r="CW23" s="130">
        <v>738.7</v>
      </c>
      <c r="CX23" s="130">
        <v>734.9</v>
      </c>
      <c r="CY23" s="130">
        <v>735</v>
      </c>
      <c r="CZ23" s="130">
        <v>736.9</v>
      </c>
      <c r="DA23" s="130">
        <v>740.3</v>
      </c>
      <c r="DB23" s="130">
        <v>741.6</v>
      </c>
      <c r="DC23" s="130">
        <v>746.9</v>
      </c>
      <c r="DD23" s="130">
        <v>757.1</v>
      </c>
      <c r="DE23" s="130">
        <v>763</v>
      </c>
      <c r="DF23" s="130">
        <v>767.9</v>
      </c>
      <c r="DG23" s="130">
        <v>771.8</v>
      </c>
      <c r="DH23" s="130">
        <v>789.7</v>
      </c>
      <c r="DI23" s="130">
        <v>797.6</v>
      </c>
      <c r="DJ23" s="130">
        <v>812.1</v>
      </c>
      <c r="DK23" s="130">
        <v>813.6</v>
      </c>
    </row>
    <row r="24" spans="1:115" ht="26.25">
      <c r="A24" s="1">
        <v>54</v>
      </c>
      <c r="B24" s="131" t="s">
        <v>45</v>
      </c>
      <c r="C24" s="132"/>
      <c r="D24" s="115">
        <v>655.95699999999999</v>
      </c>
      <c r="E24" s="115">
        <v>655.95699999999999</v>
      </c>
      <c r="F24" s="115">
        <v>655.95699999999999</v>
      </c>
      <c r="G24" s="115">
        <v>655.95699999999999</v>
      </c>
      <c r="H24" s="115">
        <v>655.95699999999999</v>
      </c>
      <c r="I24" s="115">
        <v>655.95699999999999</v>
      </c>
      <c r="J24" s="115">
        <v>655.95699999999999</v>
      </c>
      <c r="K24" s="115">
        <v>655.95699999999999</v>
      </c>
      <c r="L24" s="115">
        <v>655.95699999999999</v>
      </c>
      <c r="M24" s="115">
        <v>655.95699999999999</v>
      </c>
      <c r="N24" s="116">
        <v>655.95699999999999</v>
      </c>
      <c r="O24" s="116">
        <v>655.95699999999999</v>
      </c>
      <c r="P24" s="116">
        <v>655.95699999999999</v>
      </c>
      <c r="Q24" s="116">
        <v>655.95699999999999</v>
      </c>
      <c r="R24" s="116">
        <v>655.95699999999999</v>
      </c>
      <c r="S24" s="116">
        <v>655.95699999999999</v>
      </c>
      <c r="T24" s="116">
        <v>655.95699999999999</v>
      </c>
      <c r="U24" s="116">
        <v>655.95699999999999</v>
      </c>
      <c r="V24" s="116">
        <v>655.95699999999999</v>
      </c>
      <c r="W24" s="116">
        <v>655.95699999999999</v>
      </c>
      <c r="X24" s="116">
        <v>655.95699999999999</v>
      </c>
      <c r="Y24" s="116">
        <v>655.95699999999999</v>
      </c>
      <c r="Z24" s="116">
        <v>655.95699999999999</v>
      </c>
      <c r="AA24" s="117">
        <v>655.95699999999999</v>
      </c>
      <c r="AB24" s="118">
        <v>655.95699999999999</v>
      </c>
      <c r="AC24" s="119">
        <v>655.95699999999999</v>
      </c>
      <c r="AD24" s="118">
        <v>655.95699999999999</v>
      </c>
      <c r="AE24" s="119">
        <v>655.95699999999999</v>
      </c>
      <c r="AF24" s="118">
        <v>655.95699999999999</v>
      </c>
      <c r="AG24" s="119">
        <v>655.95699999999999</v>
      </c>
      <c r="AH24" s="118">
        <v>655.95699999999999</v>
      </c>
      <c r="AI24" s="119">
        <v>655.95699999999999</v>
      </c>
      <c r="AJ24" s="120">
        <v>655.95699999999999</v>
      </c>
      <c r="AK24" s="46">
        <v>655.95699999999999</v>
      </c>
      <c r="AL24" s="47">
        <v>655.95699999999999</v>
      </c>
      <c r="AM24" s="48">
        <v>655.95699999999999</v>
      </c>
      <c r="AN24" s="49">
        <v>655.95699999999999</v>
      </c>
      <c r="AO24" s="47">
        <v>655.95699999999999</v>
      </c>
      <c r="AP24" s="47">
        <v>655.95699999999999</v>
      </c>
      <c r="AQ24" s="47">
        <v>655.95699999999999</v>
      </c>
      <c r="AR24" s="47">
        <v>655.95699999999999</v>
      </c>
      <c r="AS24" s="47">
        <v>655.95699999999999</v>
      </c>
      <c r="AT24" s="47">
        <v>655.95699999999999</v>
      </c>
      <c r="AU24" s="47">
        <v>655.95699999999999</v>
      </c>
      <c r="AV24" s="47">
        <v>655.95699999999999</v>
      </c>
      <c r="AW24" s="47">
        <v>655.95699999999999</v>
      </c>
      <c r="AX24" s="73">
        <v>655.95699999999999</v>
      </c>
      <c r="AY24" s="51">
        <v>655.95699999999999</v>
      </c>
      <c r="AZ24" s="52">
        <v>655.95699999999999</v>
      </c>
      <c r="BA24" s="47">
        <v>655.95699999999999</v>
      </c>
      <c r="BB24" s="47">
        <v>655.95699999999999</v>
      </c>
      <c r="BC24" s="48">
        <v>655.95699999999999</v>
      </c>
      <c r="BD24" s="48">
        <v>655.95699999999999</v>
      </c>
      <c r="BE24" s="48">
        <v>655.95699999999999</v>
      </c>
      <c r="BF24" s="48">
        <v>655.95699999999999</v>
      </c>
      <c r="BG24" s="48">
        <v>655.95699999999999</v>
      </c>
      <c r="BH24" s="48">
        <v>655.95699999999999</v>
      </c>
      <c r="BI24" s="48">
        <v>655.95699999999999</v>
      </c>
      <c r="BJ24" s="51">
        <v>655.95699999999999</v>
      </c>
      <c r="BK24" s="53">
        <v>655.95699999999999</v>
      </c>
      <c r="BL24" s="53">
        <v>655.95699999999999</v>
      </c>
      <c r="BM24" s="53">
        <v>655.95699999999999</v>
      </c>
      <c r="BN24" s="53">
        <v>655.95699999999999</v>
      </c>
      <c r="BO24" s="53">
        <v>655.95699999999999</v>
      </c>
      <c r="BP24" s="53">
        <v>655.95699999999999</v>
      </c>
      <c r="BQ24" s="53">
        <v>655.95699999999999</v>
      </c>
      <c r="BR24" s="53">
        <v>655.95699999999999</v>
      </c>
      <c r="BS24" s="53">
        <v>655.95699999999999</v>
      </c>
      <c r="BT24" s="53">
        <v>655.95699999999999</v>
      </c>
      <c r="BU24" s="53">
        <v>655.95699999999999</v>
      </c>
      <c r="BV24" s="53">
        <v>655.95699999999999</v>
      </c>
      <c r="BW24" s="53">
        <v>655.95699999999999</v>
      </c>
      <c r="BX24" s="53">
        <v>655.95699999999999</v>
      </c>
      <c r="BY24" s="53">
        <v>655.95699999999999</v>
      </c>
      <c r="BZ24" s="53">
        <v>655.95699999999999</v>
      </c>
      <c r="CA24" s="53">
        <v>655.95699999999999</v>
      </c>
      <c r="CB24" s="53">
        <v>655.95699999999999</v>
      </c>
      <c r="CC24" s="53">
        <v>655.95699999999999</v>
      </c>
      <c r="CD24" s="53">
        <v>655.95699999999999</v>
      </c>
      <c r="CE24" s="53">
        <v>655.95699999999999</v>
      </c>
      <c r="CF24" s="53">
        <v>655.95699999999999</v>
      </c>
      <c r="CG24" s="53">
        <v>655.95699999999999</v>
      </c>
      <c r="CH24" s="53">
        <v>655.95699999999999</v>
      </c>
      <c r="CI24" s="53">
        <v>655.95699999999999</v>
      </c>
      <c r="CJ24" s="53">
        <v>655.95699999999999</v>
      </c>
      <c r="CK24" s="53">
        <v>655.95699999999999</v>
      </c>
      <c r="CL24" s="53">
        <v>655.95699999999999</v>
      </c>
      <c r="CM24" s="53">
        <v>655.95699999999999</v>
      </c>
      <c r="CN24" s="53">
        <v>655.95699999999999</v>
      </c>
      <c r="CO24" s="53">
        <v>655.95699999999999</v>
      </c>
      <c r="CP24" s="53">
        <v>655.95699999999999</v>
      </c>
      <c r="CQ24" s="69">
        <v>655.95699999999999</v>
      </c>
      <c r="CR24" s="69">
        <v>655.95699999999999</v>
      </c>
      <c r="CS24" s="69">
        <v>655.95699999999999</v>
      </c>
      <c r="CT24" s="69">
        <v>655.95699999999999</v>
      </c>
      <c r="CU24" s="69">
        <v>655.95699999999999</v>
      </c>
      <c r="CV24" s="69">
        <v>655.95699999999999</v>
      </c>
      <c r="CW24" s="70">
        <v>655.95699999999999</v>
      </c>
      <c r="CX24" s="70">
        <v>655.95699999999999</v>
      </c>
      <c r="CY24" s="70">
        <v>655.95699999999999</v>
      </c>
      <c r="CZ24" s="70">
        <v>655.95699999999999</v>
      </c>
      <c r="DA24" s="69">
        <v>655.95699999999999</v>
      </c>
      <c r="DB24" s="69">
        <v>655.95699999999999</v>
      </c>
      <c r="DC24" s="69">
        <v>655.95699999999999</v>
      </c>
      <c r="DD24" s="69">
        <v>655.95699999999999</v>
      </c>
      <c r="DE24" s="69">
        <v>655.95699999999999</v>
      </c>
      <c r="DF24" s="69">
        <v>655.95699999999999</v>
      </c>
      <c r="DG24" s="69">
        <v>655.95699999999999</v>
      </c>
      <c r="DH24" s="69">
        <v>655.95699999999999</v>
      </c>
      <c r="DI24" s="69">
        <v>655.95699999999999</v>
      </c>
      <c r="DJ24" s="69">
        <v>655.95699999999999</v>
      </c>
      <c r="DK24" s="69">
        <v>655.95699999999999</v>
      </c>
    </row>
    <row r="25" spans="1:115" ht="27" thickBot="1">
      <c r="A25" s="1">
        <v>55</v>
      </c>
      <c r="B25" s="133" t="s">
        <v>46</v>
      </c>
      <c r="C25" s="134"/>
      <c r="D25" s="115">
        <v>542.01726910000002</v>
      </c>
      <c r="E25" s="115">
        <v>549.46894062000001</v>
      </c>
      <c r="F25" s="115">
        <v>545.72129783693845</v>
      </c>
      <c r="G25" s="115">
        <v>534.55871567109443</v>
      </c>
      <c r="H25" s="115">
        <v>513.71054898582508</v>
      </c>
      <c r="I25" s="115">
        <v>518.5840777927109</v>
      </c>
      <c r="J25" s="115">
        <v>517.20000000000005</v>
      </c>
      <c r="K25" s="115">
        <v>512</v>
      </c>
      <c r="L25" s="115">
        <v>515</v>
      </c>
      <c r="M25" s="115">
        <v>520.14669732772973</v>
      </c>
      <c r="N25" s="116">
        <v>509.24384752736592</v>
      </c>
      <c r="O25" s="116">
        <v>496.48577051165609</v>
      </c>
      <c r="P25" s="116">
        <v>504.65994768425907</v>
      </c>
      <c r="Q25" s="116">
        <v>501.72632706134317</v>
      </c>
      <c r="R25" s="116">
        <v>495.39838380786944</v>
      </c>
      <c r="S25" s="116">
        <v>485.3</v>
      </c>
      <c r="T25" s="116">
        <v>485.5</v>
      </c>
      <c r="U25" s="116">
        <v>488.9</v>
      </c>
      <c r="V25" s="116">
        <v>478.3</v>
      </c>
      <c r="W25" s="116">
        <v>481.54235795037437</v>
      </c>
      <c r="X25" s="116">
        <v>472.1</v>
      </c>
      <c r="Y25" s="116">
        <v>464.1</v>
      </c>
      <c r="Z25" s="116">
        <v>446.8</v>
      </c>
      <c r="AA25" s="117">
        <v>449.9</v>
      </c>
      <c r="AB25" s="118">
        <v>445.7</v>
      </c>
      <c r="AC25" s="119">
        <v>444.9</v>
      </c>
      <c r="AD25" s="118">
        <v>422.6</v>
      </c>
      <c r="AE25" s="119">
        <v>416.45419338454712</v>
      </c>
      <c r="AF25" s="118">
        <v>421.64748987593998</v>
      </c>
      <c r="AG25" s="119">
        <v>421.78305041152259</v>
      </c>
      <c r="AH25" s="118">
        <v>416.24192987124661</v>
      </c>
      <c r="AI25" s="119">
        <v>437.13950474407886</v>
      </c>
      <c r="AJ25" s="120">
        <v>457.40698929012945</v>
      </c>
      <c r="AK25" s="135">
        <v>493</v>
      </c>
      <c r="AL25" s="136">
        <v>515</v>
      </c>
      <c r="AM25" s="137">
        <v>481.5</v>
      </c>
      <c r="AN25" s="138">
        <v>450.2</v>
      </c>
      <c r="AO25" s="136">
        <v>513.1</v>
      </c>
      <c r="AP25" s="136">
        <v>503.1</v>
      </c>
      <c r="AQ25" s="136">
        <v>497.3</v>
      </c>
      <c r="AR25" s="136">
        <v>481.3</v>
      </c>
      <c r="AS25" s="136">
        <v>468</v>
      </c>
      <c r="AT25" s="136">
        <v>466</v>
      </c>
      <c r="AU25" s="136">
        <v>459.82314552674188</v>
      </c>
      <c r="AV25" s="136">
        <v>450.5</v>
      </c>
      <c r="AW25" s="139">
        <v>442.8</v>
      </c>
      <c r="AX25" s="140">
        <v>439.8</v>
      </c>
      <c r="AY25" s="141">
        <v>449.3</v>
      </c>
      <c r="AZ25" s="142">
        <v>459.7</v>
      </c>
      <c r="BA25" s="139">
        <v>480.26662414270203</v>
      </c>
      <c r="BB25" s="139">
        <v>483.1406916378582</v>
      </c>
      <c r="BC25" s="143">
        <v>488.28728459238494</v>
      </c>
      <c r="BD25" s="143">
        <v>521.82854693967636</v>
      </c>
      <c r="BE25" s="143">
        <v>537.28212436930721</v>
      </c>
      <c r="BF25" s="143">
        <v>512.80888193980377</v>
      </c>
      <c r="BG25" s="143">
        <v>508.94050541986087</v>
      </c>
      <c r="BH25" s="143">
        <v>501.85427930225444</v>
      </c>
      <c r="BI25" s="143">
        <v>471.77903164810988</v>
      </c>
      <c r="BJ25" s="141">
        <v>480.4982566146092</v>
      </c>
      <c r="BK25" s="144">
        <v>496.05459983216576</v>
      </c>
      <c r="BL25" s="144">
        <v>490.65169553278855</v>
      </c>
      <c r="BM25" s="144">
        <v>480.38992391409539</v>
      </c>
      <c r="BN25" s="144">
        <v>467.96815417081865</v>
      </c>
      <c r="BO25" s="144">
        <v>453.24060638724217</v>
      </c>
      <c r="BP25" s="144">
        <v>458.23889160934732</v>
      </c>
      <c r="BQ25" s="144">
        <v>455.78929480845898</v>
      </c>
      <c r="BR25" s="144">
        <v>458.36989949851824</v>
      </c>
      <c r="BS25" s="144">
        <v>457.54384820140803</v>
      </c>
      <c r="BT25" s="144">
        <v>476.99719309472209</v>
      </c>
      <c r="BU25" s="144">
        <v>477.99038597151065</v>
      </c>
      <c r="BV25" s="144">
        <v>483.8321130195759</v>
      </c>
      <c r="BW25" s="144">
        <v>498.59911827303142</v>
      </c>
      <c r="BX25" s="144">
        <v>508.54085024120764</v>
      </c>
      <c r="BY25" s="144">
        <v>495.53259439675929</v>
      </c>
      <c r="BZ25" s="144">
        <v>496.54517572883583</v>
      </c>
      <c r="CA25" s="144">
        <v>498.20401880539669</v>
      </c>
      <c r="CB25" s="144">
        <v>512.7998295262546</v>
      </c>
      <c r="CC25" s="144">
        <v>522.56802725604598</v>
      </c>
      <c r="CD25" s="144">
        <v>533.87369184363627</v>
      </c>
      <c r="CE25" s="144">
        <v>529.16249653247803</v>
      </c>
      <c r="CF25" s="144">
        <v>509.66589831913188</v>
      </c>
      <c r="CG25" s="144">
        <v>505.64504056913671</v>
      </c>
      <c r="CH25" s="144">
        <v>511.28074088604416</v>
      </c>
      <c r="CI25" s="144">
        <v>500.16779939044198</v>
      </c>
      <c r="CJ25" s="144">
        <v>493.37486306712657</v>
      </c>
      <c r="CK25" s="144">
        <v>491.13637013915456</v>
      </c>
      <c r="CL25" s="144">
        <v>506.75818650915596</v>
      </c>
      <c r="CM25" s="144">
        <v>503.43383312479216</v>
      </c>
      <c r="CN25" s="144">
        <v>505.57916427775467</v>
      </c>
      <c r="CO25" s="144">
        <v>497.80035227754803</v>
      </c>
      <c r="CP25" s="144">
        <v>500.91111397952864</v>
      </c>
      <c r="CQ25" s="144">
        <v>492.45579752385248</v>
      </c>
      <c r="CR25" s="144">
        <v>490.93617037200585</v>
      </c>
      <c r="CS25" s="144">
        <v>481.00620055176472</v>
      </c>
      <c r="CT25" s="144">
        <v>486.23143464972003</v>
      </c>
      <c r="CU25" s="144">
        <v>478.75902028784878</v>
      </c>
      <c r="CV25" s="144">
        <v>481.67912278245717</v>
      </c>
      <c r="CW25" s="145">
        <v>480.26405795343061</v>
      </c>
      <c r="CX25" s="145">
        <v>474.52165520344198</v>
      </c>
      <c r="CY25" s="145">
        <v>475.05427392198686</v>
      </c>
      <c r="CZ25" s="145">
        <v>477.69697658788397</v>
      </c>
      <c r="DA25" s="144">
        <v>482.26328645253727</v>
      </c>
      <c r="DB25" s="144">
        <v>484.58655880000708</v>
      </c>
      <c r="DC25" s="144">
        <v>492.71031212201103</v>
      </c>
      <c r="DD25" s="144">
        <v>509.28602114917788</v>
      </c>
      <c r="DE25" s="144">
        <v>517.79876790649269</v>
      </c>
      <c r="DF25" s="144">
        <v>526.04156642351677</v>
      </c>
      <c r="DG25" s="144">
        <v>533.35894162646855</v>
      </c>
      <c r="DH25" s="144">
        <v>564.56753862568644</v>
      </c>
      <c r="DI25" s="144">
        <v>578.3090907029964</v>
      </c>
      <c r="DJ25" s="144">
        <v>606.24563978968422</v>
      </c>
      <c r="DK25" s="144">
        <v>606.48220344990182</v>
      </c>
    </row>
    <row r="26" spans="1:115" ht="27" thickBot="1">
      <c r="A26" s="1">
        <v>56</v>
      </c>
      <c r="B26" s="146" t="s">
        <v>47</v>
      </c>
      <c r="C26" s="147"/>
      <c r="D26" s="148">
        <v>1.21</v>
      </c>
      <c r="E26" s="148">
        <v>1.19</v>
      </c>
      <c r="F26" s="148">
        <v>1.202</v>
      </c>
      <c r="G26" s="148">
        <v>1.2270000000000001</v>
      </c>
      <c r="H26" s="148">
        <v>1.2768999999999999</v>
      </c>
      <c r="I26" s="148">
        <v>1.2648999999999999</v>
      </c>
      <c r="J26" s="148">
        <v>1.2689999999999999</v>
      </c>
      <c r="K26" s="149">
        <v>1.28</v>
      </c>
      <c r="L26" s="148">
        <v>1.27</v>
      </c>
      <c r="M26" s="148">
        <v>1.26</v>
      </c>
      <c r="N26" s="150">
        <v>1.29</v>
      </c>
      <c r="O26" s="150">
        <v>1.32</v>
      </c>
      <c r="P26" s="150">
        <v>1.29</v>
      </c>
      <c r="Q26" s="150">
        <v>1.31</v>
      </c>
      <c r="R26" s="150">
        <v>1.32</v>
      </c>
      <c r="S26" s="150">
        <v>1.35</v>
      </c>
      <c r="T26" s="150">
        <v>1.35</v>
      </c>
      <c r="U26" s="150">
        <v>1.34</v>
      </c>
      <c r="V26" s="150">
        <v>1.37</v>
      </c>
      <c r="W26" s="150">
        <v>1.36</v>
      </c>
      <c r="X26" s="150">
        <v>1.39</v>
      </c>
      <c r="Y26" s="150">
        <v>1.423</v>
      </c>
      <c r="Z26" s="150">
        <v>1.47</v>
      </c>
      <c r="AA26" s="151">
        <v>1.46</v>
      </c>
      <c r="AB26" s="118">
        <v>1.4718</v>
      </c>
      <c r="AC26" s="119">
        <v>1.4748000000000001</v>
      </c>
      <c r="AD26" s="118">
        <v>1.5527</v>
      </c>
      <c r="AE26" s="119">
        <v>1.5750999999999999</v>
      </c>
      <c r="AF26" s="118">
        <v>1.5557000000000001</v>
      </c>
      <c r="AG26" s="119">
        <v>1.5551999999999999</v>
      </c>
      <c r="AH26" s="118">
        <v>1.5759032258064509</v>
      </c>
      <c r="AI26" s="119">
        <v>1.5005999999999999</v>
      </c>
      <c r="AJ26" s="118">
        <v>1.4340773432824219</v>
      </c>
      <c r="AK26" s="152">
        <v>1.3289</v>
      </c>
      <c r="AL26" s="153">
        <v>1.2719833333333332</v>
      </c>
      <c r="AM26" s="154">
        <v>1.3519387096774196</v>
      </c>
      <c r="AN26" s="152">
        <v>1.3284709677419351</v>
      </c>
      <c r="AO26" s="153">
        <v>1.2800821428571434</v>
      </c>
      <c r="AP26" s="153">
        <v>1.3057000000000001</v>
      </c>
      <c r="AQ26" s="153">
        <v>1.3212799999999996</v>
      </c>
      <c r="AR26" s="153">
        <v>1.3674548387096777</v>
      </c>
      <c r="AS26" s="153">
        <v>1.4018300000000004</v>
      </c>
      <c r="AT26" s="153">
        <v>1.407470967741935</v>
      </c>
      <c r="AU26" s="153">
        <v>1.4265419354838709</v>
      </c>
      <c r="AV26" s="153">
        <v>1.4566733333333337</v>
      </c>
      <c r="AW26" s="155">
        <v>1.4811129032258068</v>
      </c>
      <c r="AX26" s="156">
        <v>1.4923166666666667</v>
      </c>
      <c r="AY26" s="157">
        <v>1.4562806451612904</v>
      </c>
      <c r="AZ26" s="158">
        <v>1.4257967741935484</v>
      </c>
      <c r="BA26" s="155">
        <v>1.3658184163242935</v>
      </c>
      <c r="BB26" s="155">
        <v>1.3576935483870971</v>
      </c>
      <c r="BC26" s="159">
        <v>1.3433833333333332</v>
      </c>
      <c r="BD26" s="159">
        <v>1.2570354838709676</v>
      </c>
      <c r="BE26" s="159">
        <v>1.2208800000000004</v>
      </c>
      <c r="BF26" s="159">
        <v>1.279145161290322</v>
      </c>
      <c r="BG26" s="159">
        <v>1.2888677419354839</v>
      </c>
      <c r="BH26" s="159">
        <v>1.3070666666666666</v>
      </c>
      <c r="BI26" s="159">
        <v>1.3903903225806453</v>
      </c>
      <c r="BJ26" s="157">
        <v>1.3651600000000002</v>
      </c>
      <c r="BK26" s="160">
        <v>1.3223483870967738</v>
      </c>
      <c r="BL26" s="160">
        <v>1.3369096774193552</v>
      </c>
      <c r="BM26" s="160">
        <v>1.3654678571428571</v>
      </c>
      <c r="BN26" s="160">
        <v>1.4017129032258064</v>
      </c>
      <c r="BO26" s="160">
        <v>1.4472599999999998</v>
      </c>
      <c r="BP26" s="160">
        <v>1.4314738709677421</v>
      </c>
      <c r="BQ26" s="160">
        <v>1.4391671929803871</v>
      </c>
      <c r="BR26" s="160">
        <v>1.4310647377099868</v>
      </c>
      <c r="BS26" s="160">
        <v>1.4336483870967744</v>
      </c>
      <c r="BT26" s="160">
        <v>1.3751800000000001</v>
      </c>
      <c r="BU26" s="160">
        <v>1.3723225806451609</v>
      </c>
      <c r="BV26" s="160">
        <v>1.3557533333333331</v>
      </c>
      <c r="BW26" s="160">
        <v>1.3155999999999997</v>
      </c>
      <c r="BX26" s="160">
        <v>1.2898806451612903</v>
      </c>
      <c r="BY26" s="160">
        <v>1.3237413793103452</v>
      </c>
      <c r="BZ26" s="160">
        <v>1.3210419354838707</v>
      </c>
      <c r="CA26" s="160">
        <v>1.3166433333333329</v>
      </c>
      <c r="CB26" s="160">
        <v>1.2791677419354837</v>
      </c>
      <c r="CC26" s="160">
        <v>1.2552566666666665</v>
      </c>
      <c r="CD26" s="160">
        <v>1.2286745161290324</v>
      </c>
      <c r="CE26" s="160">
        <v>1.2396135483870969</v>
      </c>
      <c r="CF26" s="160">
        <v>1.2870333333333333</v>
      </c>
      <c r="CG26" s="160">
        <v>1.2972677419354837</v>
      </c>
      <c r="CH26" s="160">
        <v>1.2829683333333335</v>
      </c>
      <c r="CI26" s="160">
        <v>1.311473870967742</v>
      </c>
      <c r="CJ26" s="160">
        <v>1.3294999999999999</v>
      </c>
      <c r="CK26" s="160">
        <v>1.3355903571428573</v>
      </c>
      <c r="CL26" s="160">
        <v>1.2944181612903225</v>
      </c>
      <c r="CM26" s="160">
        <v>1.3029656666666662</v>
      </c>
      <c r="CN26" s="160">
        <v>1.2974367741935482</v>
      </c>
      <c r="CO26" s="160">
        <v>1.3177109999999999</v>
      </c>
      <c r="CP26" s="160">
        <v>1.309527741935484</v>
      </c>
      <c r="CQ26" s="160">
        <v>1.3320119354838709</v>
      </c>
      <c r="CR26" s="160">
        <v>1.3361349999999999</v>
      </c>
      <c r="CS26" s="160">
        <v>1.363718387096774</v>
      </c>
      <c r="CT26" s="160">
        <v>1.3490633333333331</v>
      </c>
      <c r="CU26" s="160">
        <v>1.3701193548387094</v>
      </c>
      <c r="CV26" s="160">
        <v>1.3618132258064519</v>
      </c>
      <c r="CW26" s="161">
        <v>1.3658257142857142</v>
      </c>
      <c r="CX26" s="161">
        <v>1.3823541935483874</v>
      </c>
      <c r="CY26" s="161">
        <v>1.3808043333333337</v>
      </c>
      <c r="CZ26" s="161">
        <v>1.3731654838709677</v>
      </c>
      <c r="DA26" s="160">
        <v>1.3601636666666665</v>
      </c>
      <c r="DB26" s="160">
        <v>1.3536425806451617</v>
      </c>
      <c r="DC26" s="160">
        <v>1.3313238709677417</v>
      </c>
      <c r="DD26" s="160">
        <v>1.2879933333333331</v>
      </c>
      <c r="DE26" s="160">
        <v>1.2668183870967742</v>
      </c>
      <c r="DF26" s="160">
        <v>1.2469680000000003</v>
      </c>
      <c r="DG26" s="160">
        <v>1.229860322580645</v>
      </c>
      <c r="DH26" s="160">
        <v>1.1618751612903229</v>
      </c>
      <c r="DI26" s="160">
        <v>1.1342671428571429</v>
      </c>
      <c r="DJ26" s="160">
        <v>1.0819987096774195</v>
      </c>
      <c r="DK26" s="160">
        <v>1.0815766666666666</v>
      </c>
    </row>
    <row r="27" spans="1:115" ht="26.25" thickBot="1">
      <c r="B27" s="162" t="s">
        <v>48</v>
      </c>
      <c r="C27" s="163"/>
      <c r="D27" s="164"/>
      <c r="E27" s="164"/>
      <c r="F27" s="164"/>
      <c r="G27" s="164"/>
      <c r="H27" s="164"/>
      <c r="I27" s="164"/>
      <c r="J27" s="164"/>
      <c r="K27" s="165"/>
      <c r="L27" s="164"/>
      <c r="M27" s="164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7"/>
      <c r="AB27" s="166"/>
      <c r="AC27" s="168"/>
      <c r="AD27" s="166"/>
      <c r="AE27" s="168"/>
      <c r="AF27" s="166"/>
      <c r="AG27" s="168"/>
      <c r="AH27" s="166"/>
      <c r="AI27" s="168"/>
      <c r="AJ27" s="166"/>
      <c r="AK27" s="167"/>
      <c r="AL27" s="169"/>
      <c r="AM27" s="170"/>
      <c r="AN27" s="167"/>
      <c r="AO27" s="169"/>
      <c r="AP27" s="169"/>
      <c r="AQ27" s="169"/>
      <c r="AR27" s="169"/>
      <c r="AS27" s="169"/>
      <c r="AT27" s="169"/>
      <c r="AU27" s="169"/>
      <c r="AV27" s="169"/>
      <c r="AW27" s="169"/>
      <c r="AX27" s="171"/>
      <c r="AY27" s="168"/>
      <c r="AZ27" s="172"/>
      <c r="BA27" s="169"/>
      <c r="BB27" s="169"/>
      <c r="BC27" s="170"/>
      <c r="BD27" s="170"/>
      <c r="BE27" s="170"/>
      <c r="BF27" s="170"/>
      <c r="BG27" s="170"/>
      <c r="BH27" s="170"/>
      <c r="BI27" s="170"/>
      <c r="BJ27" s="168"/>
      <c r="BK27" s="166"/>
      <c r="BL27" s="166"/>
      <c r="BM27" s="166"/>
      <c r="BN27" s="166"/>
      <c r="BO27" s="166"/>
      <c r="BP27" s="166"/>
      <c r="BQ27" s="166"/>
      <c r="BR27" s="166"/>
      <c r="BS27" s="166"/>
      <c r="BT27" s="166"/>
      <c r="BU27" s="166"/>
      <c r="BV27" s="166"/>
      <c r="BW27" s="166"/>
      <c r="BX27" s="166"/>
      <c r="BY27" s="166"/>
      <c r="BZ27" s="166"/>
      <c r="CA27" s="166"/>
      <c r="CB27" s="166"/>
      <c r="CC27" s="166"/>
      <c r="CD27" s="166"/>
      <c r="CE27" s="166"/>
      <c r="CF27" s="166"/>
      <c r="CG27" s="166"/>
      <c r="CH27" s="166"/>
      <c r="CI27" s="166"/>
      <c r="CJ27" s="166"/>
      <c r="CK27" s="166"/>
      <c r="CL27" s="166"/>
      <c r="CM27" s="166"/>
      <c r="CN27" s="166"/>
      <c r="CO27" s="166"/>
      <c r="CP27" s="166"/>
      <c r="CQ27" s="166"/>
      <c r="CR27" s="166"/>
      <c r="CS27" s="166"/>
      <c r="CT27" s="166"/>
      <c r="CU27" s="166"/>
      <c r="CV27" s="166"/>
      <c r="CW27" s="173"/>
      <c r="CX27" s="173"/>
      <c r="CY27" s="173"/>
      <c r="CZ27" s="173"/>
      <c r="DA27" s="166"/>
      <c r="DB27" s="166"/>
      <c r="DC27" s="166"/>
      <c r="DD27" s="166"/>
      <c r="DE27" s="166"/>
      <c r="DF27" s="166"/>
      <c r="DG27" s="166"/>
      <c r="DH27" s="166"/>
      <c r="DI27" s="166"/>
      <c r="DJ27" s="166"/>
      <c r="DK27" s="166"/>
    </row>
    <row r="28" spans="1:115" ht="26.25" hidden="1" thickBot="1">
      <c r="B28" s="174" t="s">
        <v>49</v>
      </c>
      <c r="C28" s="175"/>
      <c r="D28" s="176"/>
      <c r="E28" s="176"/>
      <c r="F28" s="176"/>
      <c r="G28" s="176"/>
      <c r="H28" s="176"/>
      <c r="I28" s="176"/>
      <c r="J28" s="176"/>
      <c r="K28" s="177"/>
      <c r="L28" s="176"/>
      <c r="M28" s="176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9"/>
      <c r="AB28" s="178"/>
      <c r="AC28" s="180"/>
      <c r="AD28" s="178"/>
      <c r="AE28" s="180"/>
      <c r="AF28" s="178"/>
      <c r="AG28" s="180"/>
      <c r="AH28" s="178"/>
      <c r="AI28" s="180"/>
      <c r="AJ28" s="178"/>
      <c r="AK28" s="179"/>
      <c r="AL28" s="181"/>
      <c r="AM28" s="182"/>
      <c r="AN28" s="179"/>
      <c r="AO28" s="181"/>
      <c r="AP28" s="181"/>
      <c r="AQ28" s="181"/>
      <c r="AR28" s="181"/>
      <c r="AS28" s="181"/>
      <c r="AT28" s="181"/>
      <c r="AU28" s="181"/>
      <c r="AV28" s="181"/>
      <c r="AW28" s="181"/>
      <c r="AX28" s="183"/>
      <c r="AY28" s="180"/>
      <c r="AZ28" s="184"/>
      <c r="BA28" s="181"/>
      <c r="BB28" s="181"/>
      <c r="BC28" s="182"/>
      <c r="BD28" s="182"/>
      <c r="BE28" s="182"/>
      <c r="BF28" s="182"/>
      <c r="BG28" s="182"/>
      <c r="BH28" s="182"/>
      <c r="BI28" s="182"/>
      <c r="BJ28" s="180"/>
      <c r="BK28" s="178"/>
      <c r="BL28" s="178"/>
      <c r="BM28" s="178"/>
      <c r="BN28" s="178"/>
      <c r="BO28" s="178"/>
      <c r="BP28" s="178"/>
      <c r="BQ28" s="178"/>
      <c r="BR28" s="178"/>
      <c r="BS28" s="178"/>
      <c r="BT28" s="178"/>
      <c r="BU28" s="178"/>
      <c r="BV28" s="178"/>
      <c r="BW28" s="178"/>
      <c r="BX28" s="178"/>
      <c r="BY28" s="178"/>
      <c r="BZ28" s="178"/>
      <c r="CA28" s="178"/>
      <c r="CB28" s="178"/>
      <c r="CC28" s="178"/>
      <c r="CD28" s="178"/>
      <c r="CE28" s="178"/>
      <c r="CF28" s="178"/>
      <c r="CG28" s="178"/>
      <c r="CH28" s="178"/>
      <c r="CI28" s="178"/>
      <c r="CJ28" s="178"/>
      <c r="CK28" s="178"/>
      <c r="CL28" s="178"/>
      <c r="CM28" s="178"/>
      <c r="CN28" s="178"/>
      <c r="CO28" s="178"/>
      <c r="CP28" s="178"/>
      <c r="CQ28" s="178"/>
      <c r="CR28" s="178"/>
      <c r="CS28" s="178"/>
      <c r="CT28" s="178"/>
      <c r="CU28" s="178"/>
      <c r="CV28" s="178"/>
      <c r="CW28" s="185"/>
      <c r="CX28" s="185"/>
      <c r="CY28" s="185"/>
      <c r="CZ28" s="185"/>
      <c r="DA28" s="178"/>
      <c r="DB28" s="178"/>
      <c r="DC28" s="178"/>
      <c r="DD28" s="178"/>
      <c r="DE28" s="178"/>
      <c r="DF28" s="178"/>
      <c r="DG28" s="178"/>
      <c r="DH28" s="178"/>
      <c r="DI28" s="178"/>
      <c r="DJ28" s="178"/>
      <c r="DK28" s="178"/>
    </row>
    <row r="29" spans="1:115" ht="26.25" hidden="1" thickBot="1">
      <c r="A29" s="1">
        <v>57</v>
      </c>
      <c r="B29" s="186" t="s">
        <v>50</v>
      </c>
      <c r="C29" s="187"/>
      <c r="D29" s="115">
        <v>2.33</v>
      </c>
      <c r="E29" s="115">
        <v>2.35</v>
      </c>
      <c r="F29" s="115">
        <v>2.52</v>
      </c>
      <c r="G29" s="115">
        <v>2.63</v>
      </c>
      <c r="H29" s="115">
        <v>2.57</v>
      </c>
      <c r="I29" s="115">
        <v>2.69</v>
      </c>
      <c r="J29" s="115">
        <v>2.82</v>
      </c>
      <c r="K29" s="188">
        <v>2.97</v>
      </c>
      <c r="L29" s="115">
        <v>3.04</v>
      </c>
      <c r="M29" s="115">
        <v>3.28</v>
      </c>
      <c r="N29" s="116">
        <v>3.33</v>
      </c>
      <c r="O29" s="116">
        <v>3.52</v>
      </c>
      <c r="P29" s="116">
        <v>3.52</v>
      </c>
      <c r="Q29" s="116">
        <v>3.57</v>
      </c>
      <c r="R29" s="116">
        <v>3.69</v>
      </c>
      <c r="S29" s="116">
        <v>3.82</v>
      </c>
      <c r="T29" s="116">
        <v>3.79</v>
      </c>
      <c r="U29" s="116">
        <v>3.96</v>
      </c>
      <c r="V29" s="116">
        <v>4.07</v>
      </c>
      <c r="W29" s="116">
        <v>4.07</v>
      </c>
      <c r="X29" s="116"/>
      <c r="Y29" s="116"/>
      <c r="Z29" s="116"/>
      <c r="AA29" s="117"/>
      <c r="AB29" s="116"/>
      <c r="AC29" s="189"/>
      <c r="AD29" s="116"/>
      <c r="AE29" s="189"/>
      <c r="AF29" s="116"/>
      <c r="AG29" s="189"/>
      <c r="AH29" s="116"/>
      <c r="AI29" s="189"/>
      <c r="AJ29" s="116"/>
      <c r="AK29" s="117"/>
      <c r="AL29" s="190"/>
      <c r="AM29" s="191"/>
      <c r="AN29" s="117"/>
      <c r="AO29" s="190"/>
      <c r="AP29" s="190"/>
      <c r="AQ29" s="190"/>
      <c r="AR29" s="190"/>
      <c r="AS29" s="190"/>
      <c r="AT29" s="190"/>
      <c r="AU29" s="190"/>
      <c r="AV29" s="190"/>
      <c r="AW29" s="190"/>
      <c r="AX29" s="192"/>
      <c r="AY29" s="189"/>
      <c r="AZ29" s="193"/>
      <c r="BA29" s="190"/>
      <c r="BB29" s="190"/>
      <c r="BC29" s="191"/>
      <c r="BD29" s="191"/>
      <c r="BE29" s="191"/>
      <c r="BF29" s="191"/>
      <c r="BG29" s="191"/>
      <c r="BH29" s="191"/>
      <c r="BI29" s="191"/>
      <c r="BJ29" s="189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94"/>
      <c r="CX29" s="194"/>
      <c r="CY29" s="194"/>
      <c r="CZ29" s="194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/>
    </row>
    <row r="30" spans="1:115" ht="26.25" hidden="1" thickBot="1">
      <c r="A30" s="1">
        <v>58</v>
      </c>
      <c r="B30" s="195" t="s">
        <v>51</v>
      </c>
      <c r="C30" s="72"/>
      <c r="D30" s="81">
        <v>4.29</v>
      </c>
      <c r="E30" s="81">
        <v>4.49</v>
      </c>
      <c r="F30" s="81">
        <v>4.59</v>
      </c>
      <c r="G30" s="81">
        <v>4.79</v>
      </c>
      <c r="H30" s="81">
        <v>4.9400000000000004</v>
      </c>
      <c r="I30" s="81">
        <v>4.99</v>
      </c>
      <c r="J30" s="81">
        <v>5.25</v>
      </c>
      <c r="K30" s="196">
        <v>5.25</v>
      </c>
      <c r="L30" s="81">
        <v>5.25</v>
      </c>
      <c r="M30" s="81">
        <v>5.25</v>
      </c>
      <c r="N30" s="82">
        <v>5.25</v>
      </c>
      <c r="O30" s="82">
        <v>5.24</v>
      </c>
      <c r="P30" s="82">
        <v>5.24</v>
      </c>
      <c r="Q30" s="82">
        <v>5.25</v>
      </c>
      <c r="R30" s="82">
        <v>5.26</v>
      </c>
      <c r="S30" s="82">
        <v>5.25</v>
      </c>
      <c r="T30" s="82">
        <v>5.25</v>
      </c>
      <c r="U30" s="82">
        <v>5.25</v>
      </c>
      <c r="V30" s="82">
        <v>5.26</v>
      </c>
      <c r="W30" s="82">
        <v>5.26</v>
      </c>
      <c r="X30" s="82"/>
      <c r="Y30" s="82"/>
      <c r="Z30" s="82"/>
      <c r="AA30" s="83"/>
      <c r="AB30" s="82"/>
      <c r="AC30" s="197"/>
      <c r="AD30" s="82"/>
      <c r="AE30" s="197"/>
      <c r="AF30" s="82"/>
      <c r="AG30" s="197"/>
      <c r="AH30" s="82"/>
      <c r="AI30" s="197"/>
      <c r="AJ30" s="82"/>
      <c r="AK30" s="83"/>
      <c r="AL30" s="198"/>
      <c r="AM30" s="199"/>
      <c r="AN30" s="83"/>
      <c r="AO30" s="198"/>
      <c r="AP30" s="198"/>
      <c r="AQ30" s="198"/>
      <c r="AR30" s="198"/>
      <c r="AS30" s="198"/>
      <c r="AT30" s="198"/>
      <c r="AU30" s="198"/>
      <c r="AV30" s="198"/>
      <c r="AW30" s="198"/>
      <c r="AX30" s="200"/>
      <c r="AY30" s="197"/>
      <c r="AZ30" s="201"/>
      <c r="BA30" s="198"/>
      <c r="BB30" s="198"/>
      <c r="BC30" s="199"/>
      <c r="BD30" s="199"/>
      <c r="BE30" s="199"/>
      <c r="BF30" s="199"/>
      <c r="BG30" s="199"/>
      <c r="BH30" s="199"/>
      <c r="BI30" s="199"/>
      <c r="BJ30" s="197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202"/>
      <c r="CX30" s="202"/>
      <c r="CY30" s="202"/>
      <c r="CZ30" s="202"/>
      <c r="DA30" s="82"/>
      <c r="DB30" s="82"/>
      <c r="DC30" s="82"/>
      <c r="DD30" s="82"/>
      <c r="DE30" s="82"/>
      <c r="DF30" s="82"/>
      <c r="DG30" s="82"/>
      <c r="DH30" s="82"/>
      <c r="DI30" s="82"/>
      <c r="DJ30" s="82"/>
      <c r="DK30" s="82"/>
    </row>
    <row r="31" spans="1:115" ht="26.25" hidden="1" thickBot="1">
      <c r="A31" s="1">
        <v>59</v>
      </c>
      <c r="B31" s="57" t="s">
        <v>52</v>
      </c>
      <c r="C31" s="58"/>
      <c r="D31" s="81">
        <v>2.33</v>
      </c>
      <c r="E31" s="81">
        <v>2.35</v>
      </c>
      <c r="F31" s="81">
        <v>2.52</v>
      </c>
      <c r="G31" s="81">
        <v>2.63</v>
      </c>
      <c r="H31" s="81">
        <v>2.57</v>
      </c>
      <c r="I31" s="81">
        <v>2.69</v>
      </c>
      <c r="J31" s="81">
        <v>2.81</v>
      </c>
      <c r="K31" s="196">
        <v>2.97</v>
      </c>
      <c r="L31" s="81">
        <v>3.04</v>
      </c>
      <c r="M31" s="81">
        <v>3.28</v>
      </c>
      <c r="N31" s="82">
        <v>3.33</v>
      </c>
      <c r="O31" s="82">
        <v>3.5</v>
      </c>
      <c r="P31" s="82">
        <v>3.56</v>
      </c>
      <c r="Q31" s="82">
        <v>3.56</v>
      </c>
      <c r="R31" s="82">
        <v>3.69</v>
      </c>
      <c r="S31" s="82">
        <v>3.81</v>
      </c>
      <c r="T31" s="82">
        <v>3.79</v>
      </c>
      <c r="U31" s="82">
        <v>5.57</v>
      </c>
      <c r="V31" s="82">
        <v>4.0599999999999996</v>
      </c>
      <c r="W31" s="82">
        <v>4.0599999999999996</v>
      </c>
      <c r="X31" s="82"/>
      <c r="Y31" s="82"/>
      <c r="Z31" s="82"/>
      <c r="AA31" s="83"/>
      <c r="AB31" s="82"/>
      <c r="AC31" s="197"/>
      <c r="AD31" s="82"/>
      <c r="AE31" s="197"/>
      <c r="AF31" s="82"/>
      <c r="AG31" s="197"/>
      <c r="AH31" s="82"/>
      <c r="AI31" s="197"/>
      <c r="AJ31" s="82"/>
      <c r="AK31" s="83"/>
      <c r="AL31" s="198"/>
      <c r="AM31" s="199"/>
      <c r="AN31" s="83"/>
      <c r="AO31" s="198"/>
      <c r="AP31" s="198"/>
      <c r="AQ31" s="198"/>
      <c r="AR31" s="198"/>
      <c r="AS31" s="198"/>
      <c r="AT31" s="198"/>
      <c r="AU31" s="198"/>
      <c r="AV31" s="198"/>
      <c r="AW31" s="198"/>
      <c r="AX31" s="200"/>
      <c r="AY31" s="197"/>
      <c r="AZ31" s="201"/>
      <c r="BA31" s="198"/>
      <c r="BB31" s="198"/>
      <c r="BC31" s="199"/>
      <c r="BD31" s="199"/>
      <c r="BE31" s="199"/>
      <c r="BF31" s="199"/>
      <c r="BG31" s="199"/>
      <c r="BH31" s="199"/>
      <c r="BI31" s="199"/>
      <c r="BJ31" s="197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202"/>
      <c r="CX31" s="202"/>
      <c r="CY31" s="202"/>
      <c r="CZ31" s="202"/>
      <c r="DA31" s="82"/>
      <c r="DB31" s="82"/>
      <c r="DC31" s="82"/>
      <c r="DD31" s="82"/>
      <c r="DE31" s="82"/>
      <c r="DF31" s="82"/>
      <c r="DG31" s="82"/>
      <c r="DH31" s="82"/>
      <c r="DI31" s="82"/>
      <c r="DJ31" s="82"/>
      <c r="DK31" s="82"/>
    </row>
    <row r="32" spans="1:115" ht="26.25" hidden="1" thickBot="1">
      <c r="A32" s="1">
        <v>60</v>
      </c>
      <c r="B32" s="57" t="s">
        <v>53</v>
      </c>
      <c r="C32" s="58"/>
      <c r="D32" s="81">
        <v>4.5999999999999996</v>
      </c>
      <c r="E32" s="81">
        <v>4.4800000000000004</v>
      </c>
      <c r="F32" s="81">
        <v>4.7</v>
      </c>
      <c r="G32" s="81">
        <v>4.42</v>
      </c>
      <c r="H32" s="81">
        <v>4.5999999999999996</v>
      </c>
      <c r="I32" s="81">
        <v>4.5999999999999996</v>
      </c>
      <c r="J32" s="81">
        <v>4.6500000000000004</v>
      </c>
      <c r="K32" s="196">
        <v>4.91</v>
      </c>
      <c r="L32" s="81">
        <v>4.97</v>
      </c>
      <c r="M32" s="81">
        <v>4.91</v>
      </c>
      <c r="N32" s="82">
        <v>5.0999999999999996</v>
      </c>
      <c r="O32" s="82">
        <v>5.32</v>
      </c>
      <c r="P32" s="82">
        <v>5.31</v>
      </c>
      <c r="Q32" s="82">
        <v>5.32</v>
      </c>
      <c r="R32" s="82">
        <v>5.32</v>
      </c>
      <c r="S32" s="82">
        <v>5.32</v>
      </c>
      <c r="T32" s="82">
        <v>5.27</v>
      </c>
      <c r="U32" s="82">
        <v>5.57</v>
      </c>
      <c r="V32" s="82">
        <v>6</v>
      </c>
      <c r="W32" s="82">
        <v>600</v>
      </c>
      <c r="X32" s="82"/>
      <c r="Y32" s="82"/>
      <c r="Z32" s="82"/>
      <c r="AA32" s="83"/>
      <c r="AB32" s="82"/>
      <c r="AC32" s="197"/>
      <c r="AD32" s="82"/>
      <c r="AE32" s="197"/>
      <c r="AF32" s="82"/>
      <c r="AG32" s="197"/>
      <c r="AH32" s="82"/>
      <c r="AI32" s="197"/>
      <c r="AJ32" s="82"/>
      <c r="AK32" s="83"/>
      <c r="AL32" s="198"/>
      <c r="AM32" s="199"/>
      <c r="AN32" s="83"/>
      <c r="AO32" s="198"/>
      <c r="AP32" s="198"/>
      <c r="AQ32" s="198"/>
      <c r="AR32" s="198"/>
      <c r="AS32" s="198"/>
      <c r="AT32" s="198"/>
      <c r="AU32" s="198"/>
      <c r="AV32" s="198"/>
      <c r="AW32" s="198"/>
      <c r="AX32" s="200"/>
      <c r="AY32" s="197"/>
      <c r="AZ32" s="201"/>
      <c r="BA32" s="198"/>
      <c r="BB32" s="198"/>
      <c r="BC32" s="199"/>
      <c r="BD32" s="199"/>
      <c r="BE32" s="199"/>
      <c r="BF32" s="199"/>
      <c r="BG32" s="199"/>
      <c r="BH32" s="199"/>
      <c r="BI32" s="199"/>
      <c r="BJ32" s="197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202"/>
      <c r="CX32" s="202"/>
      <c r="CY32" s="202"/>
      <c r="CZ32" s="202"/>
      <c r="DA32" s="82"/>
      <c r="DB32" s="82"/>
      <c r="DC32" s="82"/>
      <c r="DD32" s="82"/>
      <c r="DE32" s="82"/>
      <c r="DF32" s="82"/>
      <c r="DG32" s="82"/>
      <c r="DH32" s="82"/>
      <c r="DI32" s="82"/>
      <c r="DJ32" s="82"/>
      <c r="DK32" s="82"/>
    </row>
    <row r="33" spans="1:115" ht="26.25" hidden="1" thickBot="1">
      <c r="A33" s="1">
        <v>61</v>
      </c>
      <c r="B33" s="203" t="s">
        <v>54</v>
      </c>
      <c r="C33" s="204"/>
      <c r="D33" s="205">
        <v>0</v>
      </c>
      <c r="E33" s="205">
        <v>0</v>
      </c>
      <c r="F33" s="205">
        <v>0</v>
      </c>
      <c r="G33" s="205">
        <v>0</v>
      </c>
      <c r="H33" s="205">
        <v>0</v>
      </c>
      <c r="I33" s="205">
        <v>0.04</v>
      </c>
      <c r="J33" s="205">
        <v>0.15</v>
      </c>
      <c r="K33" s="206">
        <v>0.25</v>
      </c>
      <c r="L33" s="205">
        <v>0.26</v>
      </c>
      <c r="M33" s="205">
        <v>0.25</v>
      </c>
      <c r="N33" s="76">
        <v>0.26</v>
      </c>
      <c r="O33" s="76">
        <v>0.26</v>
      </c>
      <c r="P33" s="76">
        <v>0.27</v>
      </c>
      <c r="Q33" s="76">
        <v>0.36</v>
      </c>
      <c r="R33" s="76">
        <v>0.51</v>
      </c>
      <c r="S33" s="76">
        <v>0.51</v>
      </c>
      <c r="T33" s="76">
        <v>0.52</v>
      </c>
      <c r="U33" s="76">
        <v>0.51</v>
      </c>
      <c r="V33" s="76">
        <v>0.51</v>
      </c>
      <c r="W33" s="76">
        <v>0.51</v>
      </c>
      <c r="X33" s="76"/>
      <c r="Y33" s="76"/>
      <c r="Z33" s="76"/>
      <c r="AA33" s="207"/>
      <c r="AB33" s="76"/>
      <c r="AC33" s="208"/>
      <c r="AD33" s="76"/>
      <c r="AE33" s="208"/>
      <c r="AF33" s="76"/>
      <c r="AG33" s="208"/>
      <c r="AH33" s="76"/>
      <c r="AI33" s="208"/>
      <c r="AJ33" s="76"/>
      <c r="AK33" s="207"/>
      <c r="AL33" s="209"/>
      <c r="AM33" s="75"/>
      <c r="AN33" s="207"/>
      <c r="AO33" s="209"/>
      <c r="AP33" s="209"/>
      <c r="AQ33" s="209"/>
      <c r="AR33" s="209"/>
      <c r="AS33" s="209"/>
      <c r="AT33" s="209"/>
      <c r="AU33" s="209"/>
      <c r="AV33" s="209"/>
      <c r="AW33" s="209"/>
      <c r="AX33" s="210"/>
      <c r="AY33" s="208"/>
      <c r="AZ33" s="211"/>
      <c r="BA33" s="209"/>
      <c r="BB33" s="209"/>
      <c r="BC33" s="75"/>
      <c r="BD33" s="75"/>
      <c r="BE33" s="75"/>
      <c r="BF33" s="75"/>
      <c r="BG33" s="75"/>
      <c r="BH33" s="75"/>
      <c r="BI33" s="75"/>
      <c r="BJ33" s="208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212"/>
      <c r="CX33" s="212"/>
      <c r="CY33" s="212"/>
      <c r="CZ33" s="212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</row>
    <row r="34" spans="1:115" ht="26.25" thickBot="1">
      <c r="B34" s="84" t="s">
        <v>55</v>
      </c>
      <c r="C34" s="213"/>
      <c r="D34" s="214"/>
      <c r="E34" s="214"/>
      <c r="F34" s="214"/>
      <c r="G34" s="214"/>
      <c r="H34" s="214"/>
      <c r="I34" s="214"/>
      <c r="J34" s="214"/>
      <c r="K34" s="215"/>
      <c r="L34" s="214"/>
      <c r="M34" s="214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7"/>
      <c r="AB34" s="216"/>
      <c r="AC34" s="218"/>
      <c r="AD34" s="216"/>
      <c r="AE34" s="218"/>
      <c r="AF34" s="216"/>
      <c r="AG34" s="218"/>
      <c r="AH34" s="216"/>
      <c r="AI34" s="218"/>
      <c r="AJ34" s="216"/>
      <c r="AK34" s="217"/>
      <c r="AL34" s="219"/>
      <c r="AM34" s="220"/>
      <c r="AN34" s="217"/>
      <c r="AO34" s="219"/>
      <c r="AP34" s="219"/>
      <c r="AQ34" s="219"/>
      <c r="AR34" s="219"/>
      <c r="AS34" s="219"/>
      <c r="AT34" s="219"/>
      <c r="AU34" s="219"/>
      <c r="AV34" s="219"/>
      <c r="AW34" s="219"/>
      <c r="AX34" s="221"/>
      <c r="AY34" s="218"/>
      <c r="AZ34" s="222"/>
      <c r="BA34" s="219"/>
      <c r="BB34" s="219"/>
      <c r="BC34" s="220"/>
      <c r="BD34" s="220"/>
      <c r="BE34" s="220"/>
      <c r="BF34" s="220"/>
      <c r="BG34" s="220"/>
      <c r="BH34" s="220"/>
      <c r="BI34" s="220"/>
      <c r="BJ34" s="218"/>
      <c r="BK34" s="216"/>
      <c r="BL34" s="216"/>
      <c r="BM34" s="216"/>
      <c r="BN34" s="216"/>
      <c r="BO34" s="216"/>
      <c r="BP34" s="216"/>
      <c r="BQ34" s="216"/>
      <c r="BR34" s="216"/>
      <c r="BS34" s="216"/>
      <c r="BT34" s="216"/>
      <c r="BU34" s="216"/>
      <c r="BV34" s="216"/>
      <c r="BW34" s="216"/>
      <c r="BX34" s="216"/>
      <c r="BY34" s="216"/>
      <c r="BZ34" s="216"/>
      <c r="CA34" s="216"/>
      <c r="CB34" s="216"/>
      <c r="CC34" s="216"/>
      <c r="CD34" s="216"/>
      <c r="CE34" s="216"/>
      <c r="CF34" s="216"/>
      <c r="CG34" s="216"/>
      <c r="CH34" s="216"/>
      <c r="CI34" s="216"/>
      <c r="CJ34" s="216"/>
      <c r="CK34" s="216"/>
      <c r="CL34" s="216"/>
      <c r="CM34" s="216"/>
      <c r="CN34" s="216"/>
      <c r="CO34" s="216"/>
      <c r="CP34" s="216"/>
      <c r="CQ34" s="216"/>
      <c r="CR34" s="216"/>
      <c r="CS34" s="216"/>
      <c r="CT34" s="216"/>
      <c r="CU34" s="216"/>
      <c r="CV34" s="216"/>
      <c r="CW34" s="223"/>
      <c r="CX34" s="223"/>
      <c r="CY34" s="223"/>
      <c r="CZ34" s="223"/>
      <c r="DA34" s="216"/>
      <c r="DB34" s="216"/>
      <c r="DC34" s="216"/>
      <c r="DD34" s="216"/>
      <c r="DE34" s="216"/>
      <c r="DF34" s="216"/>
      <c r="DG34" s="216"/>
      <c r="DH34" s="216"/>
      <c r="DI34" s="216"/>
      <c r="DJ34" s="216"/>
      <c r="DK34" s="216"/>
    </row>
    <row r="35" spans="1:115" ht="26.25">
      <c r="A35" s="1">
        <v>62</v>
      </c>
      <c r="B35" s="186" t="s">
        <v>50</v>
      </c>
      <c r="C35" s="187"/>
      <c r="D35" s="115">
        <v>3.4</v>
      </c>
      <c r="E35" s="115">
        <v>3.56</v>
      </c>
      <c r="F35" s="115">
        <v>3.72</v>
      </c>
      <c r="G35" s="115">
        <v>4.01</v>
      </c>
      <c r="H35" s="115">
        <v>4.07</v>
      </c>
      <c r="I35" s="115">
        <v>4.0599999999999996</v>
      </c>
      <c r="J35" s="115">
        <v>4.09</v>
      </c>
      <c r="K35" s="188">
        <v>3.96</v>
      </c>
      <c r="L35" s="115">
        <v>3.84</v>
      </c>
      <c r="M35" s="115">
        <v>3.88</v>
      </c>
      <c r="N35" s="116">
        <v>3.81</v>
      </c>
      <c r="O35" s="116">
        <v>3.87</v>
      </c>
      <c r="P35" s="116">
        <v>4.0999999999999996</v>
      </c>
      <c r="Q35" s="116">
        <v>4.1399999999999997</v>
      </c>
      <c r="R35" s="116">
        <v>4.1500000000000004</v>
      </c>
      <c r="S35" s="116">
        <v>4.24</v>
      </c>
      <c r="T35" s="116">
        <v>4.37</v>
      </c>
      <c r="U35" s="116">
        <v>4.62</v>
      </c>
      <c r="V35" s="116">
        <v>4.5199999999999996</v>
      </c>
      <c r="W35" s="116">
        <v>4.3899999999999997</v>
      </c>
      <c r="X35" s="116">
        <v>4.3600000000000003</v>
      </c>
      <c r="Y35" s="116">
        <v>4.42</v>
      </c>
      <c r="Z35" s="116">
        <v>4.2300000000000004</v>
      </c>
      <c r="AA35" s="117">
        <v>4.3499999999999996</v>
      </c>
      <c r="AB35" s="118">
        <v>4.1500000000000004</v>
      </c>
      <c r="AC35" s="119">
        <v>4.08</v>
      </c>
      <c r="AD35" s="118">
        <v>4.0199999999999996</v>
      </c>
      <c r="AE35" s="119">
        <v>4.2699999999999996</v>
      </c>
      <c r="AF35" s="118">
        <v>4.41</v>
      </c>
      <c r="AG35" s="119">
        <v>4.7300000000000004</v>
      </c>
      <c r="AH35" s="118">
        <v>4.6900000000000004</v>
      </c>
      <c r="AI35" s="119">
        <v>4.4000000000000004</v>
      </c>
      <c r="AJ35" s="120">
        <v>436</v>
      </c>
      <c r="AK35" s="224">
        <v>4.18</v>
      </c>
      <c r="AL35" s="225">
        <v>3.98</v>
      </c>
      <c r="AM35" s="226">
        <v>3.54</v>
      </c>
      <c r="AN35" s="227">
        <v>3.6</v>
      </c>
      <c r="AO35" s="225">
        <v>3.68</v>
      </c>
      <c r="AP35" s="225">
        <v>3.65</v>
      </c>
      <c r="AQ35" s="225">
        <v>3.66</v>
      </c>
      <c r="AR35" s="225">
        <v>3.8</v>
      </c>
      <c r="AS35" s="225">
        <v>3.9</v>
      </c>
      <c r="AT35" s="225">
        <v>3.73</v>
      </c>
      <c r="AU35" s="225">
        <v>3.59</v>
      </c>
      <c r="AV35" s="225">
        <v>3.59</v>
      </c>
      <c r="AW35" s="225">
        <v>3.56</v>
      </c>
      <c r="AX35" s="228">
        <v>3.56</v>
      </c>
      <c r="AY35" s="229">
        <v>3.48</v>
      </c>
      <c r="AZ35" s="230">
        <v>3.52</v>
      </c>
      <c r="BA35" s="225">
        <v>3.5</v>
      </c>
      <c r="BB35" s="225">
        <v>3.44</v>
      </c>
      <c r="BC35" s="231">
        <v>3.4</v>
      </c>
      <c r="BD35" s="231">
        <v>3.08</v>
      </c>
      <c r="BE35" s="231">
        <v>3.13</v>
      </c>
      <c r="BF35" s="231">
        <v>2.99</v>
      </c>
      <c r="BG35" s="231">
        <v>2.68</v>
      </c>
      <c r="BH35" s="231">
        <v>2.68</v>
      </c>
      <c r="BI35" s="231">
        <v>2.72</v>
      </c>
      <c r="BJ35" s="229">
        <v>3</v>
      </c>
      <c r="BK35" s="232">
        <v>3.34</v>
      </c>
      <c r="BL35" s="232">
        <v>3.44</v>
      </c>
      <c r="BM35" s="232">
        <v>3.6</v>
      </c>
      <c r="BN35" s="232">
        <v>3.61</v>
      </c>
      <c r="BO35" s="232">
        <v>3.69</v>
      </c>
      <c r="BP35" s="232">
        <v>3.49</v>
      </c>
      <c r="BQ35" s="232">
        <v>3.43</v>
      </c>
      <c r="BR35" s="232">
        <v>3.4</v>
      </c>
      <c r="BS35" s="232">
        <v>2.98</v>
      </c>
      <c r="BT35" s="232">
        <v>2.64</v>
      </c>
      <c r="BU35" s="232">
        <v>2.99</v>
      </c>
      <c r="BV35" s="232">
        <v>3.41</v>
      </c>
      <c r="BW35" s="232">
        <v>3.15</v>
      </c>
      <c r="BX35" s="232">
        <v>3.18</v>
      </c>
      <c r="BY35" s="232">
        <v>3.02</v>
      </c>
      <c r="BZ35" s="232">
        <v>2.95</v>
      </c>
      <c r="CA35" s="232">
        <v>2.99</v>
      </c>
      <c r="CB35" s="232">
        <v>2.75</v>
      </c>
      <c r="CC35" s="232">
        <v>2.57</v>
      </c>
      <c r="CD35" s="232">
        <v>2.2799999999999998</v>
      </c>
      <c r="CE35" s="232">
        <v>2.12</v>
      </c>
      <c r="CF35" s="232">
        <v>2.2400000000000002</v>
      </c>
      <c r="CG35" s="232">
        <v>2.19</v>
      </c>
      <c r="CH35" s="232">
        <v>2.14</v>
      </c>
      <c r="CI35" s="232">
        <v>2.0099999999999998</v>
      </c>
      <c r="CJ35" s="232">
        <v>2.17</v>
      </c>
      <c r="CK35" s="232">
        <v>2.25</v>
      </c>
      <c r="CL35" s="232">
        <v>2.0699999999999998</v>
      </c>
      <c r="CM35" s="232">
        <v>1.8</v>
      </c>
      <c r="CN35" s="232">
        <v>1.87</v>
      </c>
      <c r="CO35" s="232">
        <v>2.21</v>
      </c>
      <c r="CP35" s="232">
        <v>2.25</v>
      </c>
      <c r="CQ35" s="232">
        <v>2.36</v>
      </c>
      <c r="CR35" s="233">
        <v>2.4900000000000002</v>
      </c>
      <c r="CS35" s="233">
        <v>2.39</v>
      </c>
      <c r="CT35" s="233">
        <v>2.2599999999999998</v>
      </c>
      <c r="CU35" s="233">
        <v>2.33</v>
      </c>
      <c r="CV35" s="233">
        <v>2.38</v>
      </c>
      <c r="CW35" s="234">
        <v>2.25</v>
      </c>
      <c r="CX35" s="234">
        <v>2.15</v>
      </c>
      <c r="CY35" s="234">
        <v>2.0299999999999998</v>
      </c>
      <c r="CZ35" s="234">
        <v>1.84</v>
      </c>
      <c r="DA35" s="233">
        <v>1.71</v>
      </c>
      <c r="DB35" s="233">
        <v>1.56</v>
      </c>
      <c r="DC35" s="233">
        <v>1.41</v>
      </c>
      <c r="DD35" s="233">
        <v>1.35</v>
      </c>
      <c r="DE35" s="233">
        <v>1.26</v>
      </c>
      <c r="DF35" s="233">
        <v>1.1399999999999999</v>
      </c>
      <c r="DG35" s="233">
        <v>0.92</v>
      </c>
      <c r="DH35" s="233">
        <v>0.67</v>
      </c>
      <c r="DI35" s="233">
        <v>0.6</v>
      </c>
      <c r="DJ35" s="233">
        <v>0.51</v>
      </c>
      <c r="DK35" s="233" t="s">
        <v>56</v>
      </c>
    </row>
    <row r="36" spans="1:115" ht="26.25">
      <c r="A36" s="1">
        <v>63</v>
      </c>
      <c r="B36" s="235" t="s">
        <v>57</v>
      </c>
      <c r="C36" s="236"/>
      <c r="D36" s="81">
        <v>4.42</v>
      </c>
      <c r="E36" s="81">
        <v>4.57</v>
      </c>
      <c r="F36" s="81">
        <v>4.72</v>
      </c>
      <c r="G36" s="81">
        <v>4.99</v>
      </c>
      <c r="H36" s="81">
        <v>5.1100000000000003</v>
      </c>
      <c r="I36" s="81">
        <v>5.1100000000000003</v>
      </c>
      <c r="J36" s="81">
        <v>5.09</v>
      </c>
      <c r="K36" s="196">
        <v>4.88</v>
      </c>
      <c r="L36" s="81">
        <v>4.72</v>
      </c>
      <c r="M36" s="81">
        <v>4.7300000000000004</v>
      </c>
      <c r="N36" s="82">
        <v>4.5999999999999996</v>
      </c>
      <c r="O36" s="82">
        <v>4.5599999999999996</v>
      </c>
      <c r="P36" s="82">
        <v>4.8600000000000003</v>
      </c>
      <c r="Q36" s="82">
        <v>4.72</v>
      </c>
      <c r="R36" s="82">
        <v>4.5599999999999996</v>
      </c>
      <c r="S36" s="82">
        <v>4.6900000000000004</v>
      </c>
      <c r="T36" s="82">
        <v>4.75</v>
      </c>
      <c r="U36" s="82">
        <v>5.0999999999999996</v>
      </c>
      <c r="V36" s="82">
        <v>5</v>
      </c>
      <c r="W36" s="82">
        <v>4.67</v>
      </c>
      <c r="X36" s="82">
        <v>4.5199999999999996</v>
      </c>
      <c r="Y36" s="82">
        <v>4.53</v>
      </c>
      <c r="Z36" s="82">
        <v>4.1500000000000004</v>
      </c>
      <c r="AA36" s="83">
        <v>4.0999999999999996</v>
      </c>
      <c r="AB36" s="118">
        <v>3.74</v>
      </c>
      <c r="AC36" s="119">
        <v>3.74</v>
      </c>
      <c r="AD36" s="118">
        <v>3.51</v>
      </c>
      <c r="AE36" s="119">
        <v>3.68</v>
      </c>
      <c r="AF36" s="118">
        <v>3.88</v>
      </c>
      <c r="AG36" s="119">
        <v>4.0999999999999996</v>
      </c>
      <c r="AH36" s="118">
        <v>4.01</v>
      </c>
      <c r="AI36" s="119">
        <v>3.89</v>
      </c>
      <c r="AJ36" s="120">
        <v>3.69</v>
      </c>
      <c r="AK36" s="224">
        <v>3.81</v>
      </c>
      <c r="AL36" s="225">
        <v>3.53</v>
      </c>
      <c r="AM36" s="226">
        <v>2.42</v>
      </c>
      <c r="AN36" s="227">
        <v>2.52</v>
      </c>
      <c r="AO36" s="225">
        <v>2.87</v>
      </c>
      <c r="AP36" s="225">
        <v>2.82</v>
      </c>
      <c r="AQ36" s="225">
        <v>2.93</v>
      </c>
      <c r="AR36" s="225">
        <v>3.29</v>
      </c>
      <c r="AS36" s="225">
        <v>3.72</v>
      </c>
      <c r="AT36" s="225">
        <v>3.56</v>
      </c>
      <c r="AU36" s="225">
        <v>3.59</v>
      </c>
      <c r="AV36" s="225">
        <v>3.4</v>
      </c>
      <c r="AW36" s="225">
        <v>3.9</v>
      </c>
      <c r="AX36" s="228">
        <v>3.4</v>
      </c>
      <c r="AY36" s="229">
        <v>3.59</v>
      </c>
      <c r="AZ36" s="230">
        <v>3.73</v>
      </c>
      <c r="BA36" s="225">
        <v>3.69</v>
      </c>
      <c r="BB36" s="225">
        <v>3.73</v>
      </c>
      <c r="BC36" s="231">
        <v>3.85</v>
      </c>
      <c r="BD36" s="231">
        <v>3.42</v>
      </c>
      <c r="BE36" s="231">
        <v>3.2</v>
      </c>
      <c r="BF36" s="231">
        <v>3.01</v>
      </c>
      <c r="BG36" s="231">
        <v>2.7</v>
      </c>
      <c r="BH36" s="231">
        <v>2.65</v>
      </c>
      <c r="BI36" s="231">
        <v>2.54</v>
      </c>
      <c r="BJ36" s="229">
        <v>2.76</v>
      </c>
      <c r="BK36" s="232">
        <v>3.29</v>
      </c>
      <c r="BL36" s="232">
        <v>3.39</v>
      </c>
      <c r="BM36" s="232">
        <v>3.58</v>
      </c>
      <c r="BN36" s="232">
        <v>3.41</v>
      </c>
      <c r="BO36" s="232">
        <v>3.46</v>
      </c>
      <c r="BP36" s="232">
        <v>3.17</v>
      </c>
      <c r="BQ36" s="232">
        <v>3</v>
      </c>
      <c r="BR36" s="232">
        <v>3.4</v>
      </c>
      <c r="BS36" s="232">
        <v>2.2999999999999998</v>
      </c>
      <c r="BT36" s="232">
        <v>1.98</v>
      </c>
      <c r="BU36" s="232">
        <v>2.15</v>
      </c>
      <c r="BV36" s="232">
        <v>2.0099999999999998</v>
      </c>
      <c r="BW36" s="232">
        <v>1.98</v>
      </c>
      <c r="BX36" s="232">
        <v>1.97</v>
      </c>
      <c r="BY36" s="232">
        <v>1.97</v>
      </c>
      <c r="BZ36" s="232">
        <v>2.17</v>
      </c>
      <c r="CA36" s="232">
        <v>2.0499999999999998</v>
      </c>
      <c r="CB36" s="232">
        <v>1.8</v>
      </c>
      <c r="CC36" s="232">
        <v>1.62</v>
      </c>
      <c r="CD36" s="232">
        <v>1.53</v>
      </c>
      <c r="CE36" s="232">
        <v>1.68</v>
      </c>
      <c r="CF36" s="232">
        <v>1.72</v>
      </c>
      <c r="CG36" s="232">
        <v>1.75</v>
      </c>
      <c r="CH36" s="232">
        <v>1.65</v>
      </c>
      <c r="CI36" s="232">
        <v>1.72</v>
      </c>
      <c r="CJ36" s="232">
        <v>1.91</v>
      </c>
      <c r="CK36" s="232">
        <v>1.98</v>
      </c>
      <c r="CL36" s="232">
        <v>1.96</v>
      </c>
      <c r="CM36" s="232">
        <v>1.76</v>
      </c>
      <c r="CN36" s="232">
        <v>1.93</v>
      </c>
      <c r="CO36" s="232">
        <v>2.2999999999999998</v>
      </c>
      <c r="CP36" s="232">
        <v>2.58</v>
      </c>
      <c r="CQ36" s="232">
        <v>2.74</v>
      </c>
      <c r="CR36" s="233">
        <v>2.81</v>
      </c>
      <c r="CS36" s="233">
        <v>2.62</v>
      </c>
      <c r="CT36" s="233">
        <v>2.72</v>
      </c>
      <c r="CU36" s="233">
        <v>2.9</v>
      </c>
      <c r="CV36" s="233">
        <v>2.86</v>
      </c>
      <c r="CW36" s="234">
        <v>2.71</v>
      </c>
      <c r="CX36" s="234">
        <v>2.72</v>
      </c>
      <c r="CY36" s="234">
        <v>2.71</v>
      </c>
      <c r="CZ36" s="234">
        <v>2.56</v>
      </c>
      <c r="DA36" s="233">
        <v>2.6</v>
      </c>
      <c r="DB36" s="233">
        <v>2.54</v>
      </c>
      <c r="DC36" s="233">
        <v>2.42</v>
      </c>
      <c r="DD36" s="233">
        <v>2.5299999999999998</v>
      </c>
      <c r="DE36" s="233">
        <v>2.2999999999999998</v>
      </c>
      <c r="DF36" s="233">
        <v>2.33</v>
      </c>
      <c r="DG36" s="233">
        <v>2.21</v>
      </c>
      <c r="DH36" s="233">
        <v>1.88</v>
      </c>
      <c r="DI36" s="233">
        <v>1.98</v>
      </c>
      <c r="DJ36" s="233">
        <v>2.04</v>
      </c>
      <c r="DK36" s="233" t="s">
        <v>56</v>
      </c>
    </row>
    <row r="37" spans="1:115" ht="26.25">
      <c r="A37" s="1">
        <v>64</v>
      </c>
      <c r="B37" s="235" t="s">
        <v>52</v>
      </c>
      <c r="C37" s="236"/>
      <c r="D37" s="81">
        <v>3.26</v>
      </c>
      <c r="E37" s="81">
        <v>3.4</v>
      </c>
      <c r="F37" s="81">
        <v>3.59</v>
      </c>
      <c r="G37" s="81">
        <v>3.84</v>
      </c>
      <c r="H37" s="81">
        <v>3.89</v>
      </c>
      <c r="I37" s="81">
        <v>3.9</v>
      </c>
      <c r="J37" s="81">
        <v>3.96</v>
      </c>
      <c r="K37" s="196">
        <v>3.85</v>
      </c>
      <c r="L37" s="81">
        <v>3.75</v>
      </c>
      <c r="M37" s="81">
        <v>3.79</v>
      </c>
      <c r="N37" s="82">
        <v>3.73</v>
      </c>
      <c r="O37" s="82">
        <v>3.8</v>
      </c>
      <c r="P37" s="82">
        <v>4.03</v>
      </c>
      <c r="Q37" s="82">
        <v>4.0599999999999996</v>
      </c>
      <c r="R37" s="82">
        <v>3.97</v>
      </c>
      <c r="S37" s="82">
        <v>3.99</v>
      </c>
      <c r="T37" s="82">
        <v>4.32</v>
      </c>
      <c r="U37" s="82">
        <v>4.5599999999999996</v>
      </c>
      <c r="V37" s="82">
        <v>4.5</v>
      </c>
      <c r="W37" s="82">
        <v>4.3</v>
      </c>
      <c r="X37" s="82">
        <v>4.22</v>
      </c>
      <c r="Y37" s="82">
        <v>4.22</v>
      </c>
      <c r="Z37" s="82">
        <v>4.09</v>
      </c>
      <c r="AA37" s="83">
        <v>4.21</v>
      </c>
      <c r="AB37" s="118">
        <v>4.03</v>
      </c>
      <c r="AC37" s="119">
        <v>3.95</v>
      </c>
      <c r="AD37" s="118">
        <v>3.8</v>
      </c>
      <c r="AE37" s="119">
        <v>4.04</v>
      </c>
      <c r="AF37" s="118">
        <v>4.2</v>
      </c>
      <c r="AG37" s="119">
        <v>4.5199999999999996</v>
      </c>
      <c r="AH37" s="118">
        <v>4.49</v>
      </c>
      <c r="AI37" s="119">
        <v>4.2</v>
      </c>
      <c r="AJ37" s="120">
        <v>4.0999999999999996</v>
      </c>
      <c r="AK37" s="224">
        <v>3.88</v>
      </c>
      <c r="AL37" s="237">
        <v>3.56</v>
      </c>
      <c r="AM37" s="226">
        <v>3.05</v>
      </c>
      <c r="AN37" s="227">
        <v>3.07</v>
      </c>
      <c r="AO37" s="225">
        <v>3.13</v>
      </c>
      <c r="AP37" s="225">
        <v>3.02</v>
      </c>
      <c r="AQ37" s="225">
        <v>3.13</v>
      </c>
      <c r="AR37" s="225">
        <v>3.37</v>
      </c>
      <c r="AS37" s="225">
        <v>3.47</v>
      </c>
      <c r="AT37" s="225">
        <v>3.34</v>
      </c>
      <c r="AU37" s="225">
        <v>3.31</v>
      </c>
      <c r="AV37" s="225">
        <v>3.26</v>
      </c>
      <c r="AW37" s="225">
        <v>3.21</v>
      </c>
      <c r="AX37" s="228">
        <v>3.22</v>
      </c>
      <c r="AY37" s="229">
        <v>3.14</v>
      </c>
      <c r="AZ37" s="230">
        <v>3.26</v>
      </c>
      <c r="BA37" s="225">
        <v>3.17</v>
      </c>
      <c r="BB37" s="225">
        <v>3.1</v>
      </c>
      <c r="BC37" s="231">
        <v>3.06</v>
      </c>
      <c r="BD37" s="231">
        <v>2.73</v>
      </c>
      <c r="BE37" s="231">
        <v>2.54</v>
      </c>
      <c r="BF37" s="231">
        <v>2.62</v>
      </c>
      <c r="BG37" s="231">
        <v>2.35</v>
      </c>
      <c r="BH37" s="231">
        <v>2.2999999999999998</v>
      </c>
      <c r="BI37" s="231">
        <v>2.35</v>
      </c>
      <c r="BJ37" s="229">
        <v>2.5299999999999998</v>
      </c>
      <c r="BK37" s="232">
        <v>2.91</v>
      </c>
      <c r="BL37" s="232">
        <v>3</v>
      </c>
      <c r="BM37" s="232">
        <v>3.2</v>
      </c>
      <c r="BN37" s="232">
        <v>3.21</v>
      </c>
      <c r="BO37" s="232">
        <v>3.34</v>
      </c>
      <c r="BP37" s="232">
        <v>3.06</v>
      </c>
      <c r="BQ37" s="232">
        <v>2.89</v>
      </c>
      <c r="BR37" s="232">
        <v>2.74</v>
      </c>
      <c r="BS37" s="232">
        <v>2.21</v>
      </c>
      <c r="BT37" s="232">
        <v>1.84</v>
      </c>
      <c r="BU37" s="232">
        <v>2</v>
      </c>
      <c r="BV37" s="232">
        <v>1.87</v>
      </c>
      <c r="BW37" s="232">
        <v>1.93</v>
      </c>
      <c r="BX37" s="232">
        <v>1.82</v>
      </c>
      <c r="BY37" s="232">
        <v>1.85</v>
      </c>
      <c r="BZ37" s="232">
        <v>1.83</v>
      </c>
      <c r="CA37" s="232">
        <v>1.62</v>
      </c>
      <c r="CB37" s="232">
        <v>1.34</v>
      </c>
      <c r="CC37" s="232">
        <v>1.3</v>
      </c>
      <c r="CD37" s="232">
        <v>1.24</v>
      </c>
      <c r="CE37" s="232">
        <v>1.34</v>
      </c>
      <c r="CF37" s="232">
        <v>1.49</v>
      </c>
      <c r="CG37" s="232">
        <v>1.47</v>
      </c>
      <c r="CH37" s="232">
        <v>1.34</v>
      </c>
      <c r="CI37" s="232">
        <v>1.3</v>
      </c>
      <c r="CJ37" s="232">
        <v>1.51</v>
      </c>
      <c r="CK37" s="232">
        <v>1.54</v>
      </c>
      <c r="CL37" s="232">
        <v>1.35</v>
      </c>
      <c r="CM37" s="232">
        <v>1.2</v>
      </c>
      <c r="CN37" s="232">
        <v>1.29</v>
      </c>
      <c r="CO37" s="232">
        <v>1.53</v>
      </c>
      <c r="CP37" s="232">
        <v>1.56</v>
      </c>
      <c r="CQ37" s="232">
        <v>1.73</v>
      </c>
      <c r="CR37" s="233">
        <v>1.89</v>
      </c>
      <c r="CS37" s="233">
        <v>1.76</v>
      </c>
      <c r="CT37" s="233">
        <v>1.68</v>
      </c>
      <c r="CU37" s="233">
        <v>1.8</v>
      </c>
      <c r="CV37" s="233">
        <v>1.76</v>
      </c>
      <c r="CW37" s="234">
        <v>1.56</v>
      </c>
      <c r="CX37" s="234">
        <v>1.51</v>
      </c>
      <c r="CY37" s="234">
        <v>1.46</v>
      </c>
      <c r="CZ37" s="234">
        <v>1.33</v>
      </c>
      <c r="DA37" s="233">
        <v>1.26</v>
      </c>
      <c r="DB37" s="233">
        <v>1.1100000000000001</v>
      </c>
      <c r="DC37" s="233">
        <v>0.95</v>
      </c>
      <c r="DD37" s="233">
        <v>0.92</v>
      </c>
      <c r="DE37" s="233">
        <v>0.79</v>
      </c>
      <c r="DF37" s="233">
        <v>0.72</v>
      </c>
      <c r="DG37" s="233">
        <v>0.59</v>
      </c>
      <c r="DH37" s="233">
        <v>0.39</v>
      </c>
      <c r="DI37" s="233">
        <v>0.3</v>
      </c>
      <c r="DJ37" s="233">
        <v>0.23</v>
      </c>
      <c r="DK37" s="233" t="s">
        <v>56</v>
      </c>
    </row>
    <row r="38" spans="1:115" ht="27" thickBot="1">
      <c r="A38" s="1">
        <v>65</v>
      </c>
      <c r="B38" s="238" t="s">
        <v>58</v>
      </c>
      <c r="C38" s="239"/>
      <c r="D38" s="81">
        <v>1.56</v>
      </c>
      <c r="E38" s="81">
        <v>1.58</v>
      </c>
      <c r="F38" s="81">
        <v>1.77</v>
      </c>
      <c r="G38" s="81">
        <v>1.92</v>
      </c>
      <c r="H38" s="81">
        <v>1.81</v>
      </c>
      <c r="I38" s="81">
        <v>1.92</v>
      </c>
      <c r="J38" s="81">
        <v>1.92</v>
      </c>
      <c r="K38" s="196">
        <v>1.61</v>
      </c>
      <c r="L38" s="81">
        <v>1.66</v>
      </c>
      <c r="M38" s="81">
        <v>1.71</v>
      </c>
      <c r="N38" s="82">
        <v>1.65</v>
      </c>
      <c r="O38" s="82">
        <v>1.68</v>
      </c>
      <c r="P38" s="82">
        <v>1.7</v>
      </c>
      <c r="Q38" s="82">
        <v>1.63</v>
      </c>
      <c r="R38" s="82">
        <v>1.65</v>
      </c>
      <c r="S38" s="82">
        <v>1.62</v>
      </c>
      <c r="T38" s="82">
        <v>1.75</v>
      </c>
      <c r="U38" s="82">
        <v>1.87</v>
      </c>
      <c r="V38" s="82">
        <v>1.79</v>
      </c>
      <c r="W38" s="82">
        <v>1.6</v>
      </c>
      <c r="X38" s="82">
        <v>1.68</v>
      </c>
      <c r="Y38" s="82">
        <v>1.6</v>
      </c>
      <c r="Z38" s="82">
        <v>1.47</v>
      </c>
      <c r="AA38" s="83">
        <v>1.5</v>
      </c>
      <c r="AB38" s="118">
        <v>1.43</v>
      </c>
      <c r="AC38" s="119">
        <v>1.36</v>
      </c>
      <c r="AD38" s="118">
        <v>1.27</v>
      </c>
      <c r="AE38" s="119">
        <v>1.58</v>
      </c>
      <c r="AF38" s="118">
        <v>1.75</v>
      </c>
      <c r="AG38" s="119">
        <v>1.59</v>
      </c>
      <c r="AH38" s="118">
        <v>1.53</v>
      </c>
      <c r="AI38" s="119">
        <v>1.41</v>
      </c>
      <c r="AJ38" s="120">
        <v>1.46</v>
      </c>
      <c r="AK38" s="240">
        <v>1.47</v>
      </c>
      <c r="AL38" s="241">
        <v>1.39</v>
      </c>
      <c r="AM38" s="242">
        <v>1.17</v>
      </c>
      <c r="AN38" s="227">
        <v>1.29</v>
      </c>
      <c r="AO38" s="225">
        <v>1.27</v>
      </c>
      <c r="AP38" s="225">
        <v>1.35</v>
      </c>
      <c r="AQ38" s="225">
        <v>1.42</v>
      </c>
      <c r="AR38" s="225">
        <v>1.48</v>
      </c>
      <c r="AS38" s="225">
        <v>1.35</v>
      </c>
      <c r="AT38" s="225">
        <v>1.41</v>
      </c>
      <c r="AU38" s="225">
        <v>1.31</v>
      </c>
      <c r="AV38" s="225">
        <v>1.29</v>
      </c>
      <c r="AW38" s="225">
        <v>1.41</v>
      </c>
      <c r="AX38" s="228">
        <v>1.26</v>
      </c>
      <c r="AY38" s="229">
        <v>1.29</v>
      </c>
      <c r="AZ38" s="230">
        <v>1.32</v>
      </c>
      <c r="BA38" s="225">
        <v>1.3</v>
      </c>
      <c r="BB38" s="225">
        <v>1.39</v>
      </c>
      <c r="BC38" s="231">
        <v>1.28</v>
      </c>
      <c r="BD38" s="231">
        <v>1.26</v>
      </c>
      <c r="BE38" s="231">
        <v>1.08</v>
      </c>
      <c r="BF38" s="231">
        <v>1.07</v>
      </c>
      <c r="BG38" s="231">
        <v>0.96</v>
      </c>
      <c r="BH38" s="231">
        <v>0.93</v>
      </c>
      <c r="BI38" s="231">
        <v>0.93</v>
      </c>
      <c r="BJ38" s="229">
        <v>1.19</v>
      </c>
      <c r="BK38" s="232">
        <v>1.1200000000000001</v>
      </c>
      <c r="BL38" s="232">
        <v>1.21</v>
      </c>
      <c r="BM38" s="232">
        <v>1.26</v>
      </c>
      <c r="BN38" s="232">
        <v>1.25</v>
      </c>
      <c r="BO38" s="232">
        <v>1.2</v>
      </c>
      <c r="BP38" s="232">
        <v>1.1499999999999999</v>
      </c>
      <c r="BQ38" s="232">
        <v>1.1299999999999999</v>
      </c>
      <c r="BR38" s="232">
        <v>1.08</v>
      </c>
      <c r="BS38" s="232">
        <v>1.03</v>
      </c>
      <c r="BT38" s="232">
        <v>1.03</v>
      </c>
      <c r="BU38" s="232">
        <v>1.05</v>
      </c>
      <c r="BV38" s="232">
        <v>1.07</v>
      </c>
      <c r="BW38" s="232">
        <v>0.98</v>
      </c>
      <c r="BX38" s="232">
        <v>0.96</v>
      </c>
      <c r="BY38" s="232">
        <v>0.96</v>
      </c>
      <c r="BZ38" s="232">
        <v>0.99</v>
      </c>
      <c r="CA38" s="232">
        <v>0.89</v>
      </c>
      <c r="CB38" s="232">
        <v>0.83</v>
      </c>
      <c r="CC38" s="232">
        <v>0.84</v>
      </c>
      <c r="CD38" s="232">
        <v>0.79</v>
      </c>
      <c r="CE38" s="232">
        <v>0.8</v>
      </c>
      <c r="CF38" s="232">
        <v>0.77</v>
      </c>
      <c r="CG38" s="232">
        <v>0.77</v>
      </c>
      <c r="CH38" s="232">
        <v>0.71</v>
      </c>
      <c r="CI38" s="232">
        <v>0.8</v>
      </c>
      <c r="CJ38" s="232">
        <v>0.75</v>
      </c>
      <c r="CK38" s="232">
        <v>0.66</v>
      </c>
      <c r="CL38" s="232">
        <v>0.56000000000000005</v>
      </c>
      <c r="CM38" s="232">
        <v>0.61</v>
      </c>
      <c r="CN38" s="232">
        <v>0.87</v>
      </c>
      <c r="CO38" s="232">
        <v>0.85</v>
      </c>
      <c r="CP38" s="232">
        <v>0.79</v>
      </c>
      <c r="CQ38" s="232">
        <v>0.72</v>
      </c>
      <c r="CR38" s="233">
        <v>0.68</v>
      </c>
      <c r="CS38" s="233">
        <v>0.59</v>
      </c>
      <c r="CT38" s="233">
        <v>0.6</v>
      </c>
      <c r="CU38" s="233">
        <v>0.74</v>
      </c>
      <c r="CV38" s="233">
        <v>0.62</v>
      </c>
      <c r="CW38" s="234">
        <v>0.57999999999999996</v>
      </c>
      <c r="CX38" s="234">
        <v>0.64</v>
      </c>
      <c r="CY38" s="234">
        <v>0.62</v>
      </c>
      <c r="CZ38" s="234">
        <v>0.56999999999999995</v>
      </c>
      <c r="DA38" s="233">
        <v>0.56000000000000005</v>
      </c>
      <c r="DB38" s="233" t="s">
        <v>56</v>
      </c>
      <c r="DC38" s="233" t="s">
        <v>56</v>
      </c>
      <c r="DD38" s="233" t="s">
        <v>56</v>
      </c>
      <c r="DE38" s="233" t="s">
        <v>56</v>
      </c>
      <c r="DF38" s="233">
        <v>0.42</v>
      </c>
      <c r="DG38" s="233">
        <v>0.32</v>
      </c>
      <c r="DH38" s="233">
        <v>0.28000000000000003</v>
      </c>
      <c r="DI38" s="233" t="s">
        <v>56</v>
      </c>
      <c r="DJ38" s="233" t="s">
        <v>56</v>
      </c>
      <c r="DK38" s="233" t="s">
        <v>56</v>
      </c>
    </row>
    <row r="39" spans="1:115" ht="26.25">
      <c r="B39" s="243" t="s">
        <v>59</v>
      </c>
      <c r="C39" s="244"/>
      <c r="D39" s="164"/>
      <c r="E39" s="164"/>
      <c r="F39" s="164"/>
      <c r="G39" s="164"/>
      <c r="H39" s="164"/>
      <c r="I39" s="164"/>
      <c r="J39" s="164"/>
      <c r="K39" s="165"/>
      <c r="L39" s="164"/>
      <c r="M39" s="164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7"/>
      <c r="AB39" s="166"/>
      <c r="AC39" s="168"/>
      <c r="AD39" s="166"/>
      <c r="AE39" s="168"/>
      <c r="AF39" s="166"/>
      <c r="AG39" s="168"/>
      <c r="AH39" s="166"/>
      <c r="AI39" s="168"/>
      <c r="AJ39" s="245"/>
      <c r="AK39" s="246"/>
      <c r="AL39" s="247"/>
      <c r="AM39" s="248"/>
      <c r="AN39" s="246"/>
      <c r="AO39" s="247"/>
      <c r="AP39" s="247"/>
      <c r="AQ39" s="247"/>
      <c r="AR39" s="247"/>
      <c r="AS39" s="247"/>
      <c r="AT39" s="247"/>
      <c r="AU39" s="247"/>
      <c r="AV39" s="247"/>
      <c r="AW39" s="247"/>
      <c r="AX39" s="249"/>
      <c r="AY39" s="250"/>
      <c r="AZ39" s="251"/>
      <c r="BA39" s="247"/>
      <c r="BB39" s="247"/>
      <c r="BC39" s="248"/>
      <c r="BD39" s="248"/>
      <c r="BE39" s="248"/>
      <c r="BF39" s="248"/>
      <c r="BG39" s="248"/>
      <c r="BH39" s="248"/>
      <c r="BI39" s="248"/>
      <c r="BJ39" s="250"/>
      <c r="BK39" s="245"/>
      <c r="BL39" s="245"/>
      <c r="BM39" s="245"/>
      <c r="BN39" s="245"/>
      <c r="BO39" s="245"/>
      <c r="BP39" s="245"/>
      <c r="BQ39" s="245"/>
      <c r="BR39" s="245"/>
      <c r="BS39" s="245"/>
      <c r="BT39" s="245"/>
      <c r="BU39" s="245"/>
      <c r="BV39" s="245"/>
      <c r="BW39" s="245"/>
      <c r="BX39" s="245"/>
      <c r="BY39" s="245"/>
      <c r="BZ39" s="245"/>
      <c r="CA39" s="245"/>
      <c r="CB39" s="245"/>
      <c r="CC39" s="245"/>
      <c r="CD39" s="245"/>
      <c r="CE39" s="245"/>
      <c r="CF39" s="245"/>
      <c r="CG39" s="245"/>
      <c r="CH39" s="245"/>
      <c r="CI39" s="245"/>
      <c r="CJ39" s="245"/>
      <c r="CK39" s="245"/>
      <c r="CL39" s="245"/>
      <c r="CM39" s="245"/>
      <c r="CN39" s="245"/>
      <c r="CO39" s="245"/>
      <c r="CP39" s="245"/>
      <c r="CQ39" s="245"/>
      <c r="CR39" s="245"/>
      <c r="CS39" s="245"/>
      <c r="CT39" s="245"/>
      <c r="CU39" s="245"/>
      <c r="CV39" s="245"/>
      <c r="CW39" s="252"/>
      <c r="CX39" s="252"/>
      <c r="CY39" s="252"/>
      <c r="CZ39" s="252"/>
      <c r="DA39" s="245"/>
      <c r="DB39" s="245"/>
      <c r="DC39" s="245"/>
      <c r="DD39" s="245"/>
      <c r="DE39" s="245"/>
      <c r="DF39" s="245"/>
      <c r="DG39" s="245"/>
      <c r="DH39" s="245"/>
      <c r="DI39" s="245"/>
      <c r="DJ39" s="245"/>
      <c r="DK39" s="245"/>
    </row>
    <row r="40" spans="1:115" ht="27" thickBot="1">
      <c r="B40" s="253" t="s">
        <v>60</v>
      </c>
      <c r="C40" s="254"/>
      <c r="D40" s="255"/>
      <c r="E40" s="255"/>
      <c r="F40" s="255"/>
      <c r="G40" s="255"/>
      <c r="H40" s="255"/>
      <c r="I40" s="255"/>
      <c r="J40" s="255"/>
      <c r="K40" s="256"/>
      <c r="L40" s="255"/>
      <c r="M40" s="255"/>
      <c r="N40" s="257"/>
      <c r="O40" s="257"/>
      <c r="P40" s="257"/>
      <c r="Q40" s="257"/>
      <c r="R40" s="257"/>
      <c r="S40" s="257"/>
      <c r="T40" s="257"/>
      <c r="U40" s="257"/>
      <c r="V40" s="257"/>
      <c r="W40" s="257"/>
      <c r="X40" s="257"/>
      <c r="Y40" s="257"/>
      <c r="Z40" s="257"/>
      <c r="AA40" s="258"/>
      <c r="AB40" s="257"/>
      <c r="AC40" s="259"/>
      <c r="AD40" s="257"/>
      <c r="AE40" s="259"/>
      <c r="AF40" s="257"/>
      <c r="AG40" s="259"/>
      <c r="AH40" s="257"/>
      <c r="AI40" s="259"/>
      <c r="AJ40" s="260"/>
      <c r="AK40" s="261"/>
      <c r="AL40" s="262"/>
      <c r="AM40" s="263"/>
      <c r="AN40" s="261"/>
      <c r="AO40" s="262"/>
      <c r="AP40" s="262"/>
      <c r="AQ40" s="262"/>
      <c r="AR40" s="262"/>
      <c r="AS40" s="262"/>
      <c r="AT40" s="262"/>
      <c r="AU40" s="262"/>
      <c r="AV40" s="262"/>
      <c r="AW40" s="262"/>
      <c r="AX40" s="264"/>
      <c r="AY40" s="265"/>
      <c r="AZ40" s="266"/>
      <c r="BA40" s="262"/>
      <c r="BB40" s="262"/>
      <c r="BC40" s="263"/>
      <c r="BD40" s="263"/>
      <c r="BE40" s="263"/>
      <c r="BF40" s="263"/>
      <c r="BG40" s="263"/>
      <c r="BH40" s="263"/>
      <c r="BI40" s="263"/>
      <c r="BJ40" s="265"/>
      <c r="BK40" s="260"/>
      <c r="BL40" s="260"/>
      <c r="BM40" s="260"/>
      <c r="BN40" s="260"/>
      <c r="BO40" s="260"/>
      <c r="BP40" s="260"/>
      <c r="BQ40" s="260"/>
      <c r="BR40" s="260"/>
      <c r="BS40" s="260"/>
      <c r="BT40" s="260"/>
      <c r="BU40" s="260"/>
      <c r="BV40" s="260"/>
      <c r="BW40" s="260"/>
      <c r="BX40" s="260"/>
      <c r="BY40" s="260"/>
      <c r="BZ40" s="260"/>
      <c r="CA40" s="260"/>
      <c r="CB40" s="260"/>
      <c r="CC40" s="260"/>
      <c r="CD40" s="260"/>
      <c r="CE40" s="260"/>
      <c r="CF40" s="260"/>
      <c r="CG40" s="260"/>
      <c r="CH40" s="260"/>
      <c r="CI40" s="260"/>
      <c r="CJ40" s="260"/>
      <c r="CK40" s="260"/>
      <c r="CL40" s="260"/>
      <c r="CM40" s="260"/>
      <c r="CN40" s="260"/>
      <c r="CO40" s="260"/>
      <c r="CP40" s="260"/>
      <c r="CQ40" s="260"/>
      <c r="CR40" s="260"/>
      <c r="CS40" s="260"/>
      <c r="CT40" s="260"/>
      <c r="CU40" s="260"/>
      <c r="CV40" s="260"/>
      <c r="CW40" s="267"/>
      <c r="CX40" s="267"/>
      <c r="CY40" s="267"/>
      <c r="CZ40" s="267"/>
      <c r="DA40" s="260"/>
      <c r="DB40" s="260"/>
      <c r="DC40" s="260"/>
      <c r="DD40" s="260"/>
      <c r="DE40" s="260"/>
      <c r="DF40" s="260"/>
      <c r="DG40" s="260"/>
      <c r="DH40" s="260"/>
      <c r="DI40" s="260"/>
      <c r="DJ40" s="260"/>
      <c r="DK40" s="260"/>
    </row>
    <row r="41" spans="1:115" ht="26.25">
      <c r="A41" s="1">
        <v>66</v>
      </c>
      <c r="B41" s="113" t="s">
        <v>57</v>
      </c>
      <c r="C41" s="114"/>
      <c r="D41" s="115">
        <v>4.0999999999999996</v>
      </c>
      <c r="E41" s="115">
        <v>3.6</v>
      </c>
      <c r="F41" s="115">
        <v>3.3</v>
      </c>
      <c r="G41" s="115">
        <v>3.5</v>
      </c>
      <c r="H41" s="115">
        <v>4.2</v>
      </c>
      <c r="I41" s="115">
        <v>4.3</v>
      </c>
      <c r="J41" s="115">
        <v>4.0999999999999996</v>
      </c>
      <c r="K41" s="188">
        <v>3.8</v>
      </c>
      <c r="L41" s="115">
        <v>2.1</v>
      </c>
      <c r="M41" s="115">
        <v>1.3</v>
      </c>
      <c r="N41" s="116">
        <v>1.9</v>
      </c>
      <c r="O41" s="116">
        <v>2.5</v>
      </c>
      <c r="P41" s="116">
        <v>2</v>
      </c>
      <c r="Q41" s="116">
        <v>2.4</v>
      </c>
      <c r="R41" s="116">
        <v>2.8</v>
      </c>
      <c r="S41" s="116">
        <v>2.6</v>
      </c>
      <c r="T41" s="116">
        <v>2.7</v>
      </c>
      <c r="U41" s="116">
        <v>2.7</v>
      </c>
      <c r="V41" s="116">
        <v>2.4</v>
      </c>
      <c r="W41" s="116">
        <v>1.9</v>
      </c>
      <c r="X41" s="116">
        <v>2.8</v>
      </c>
      <c r="Y41" s="268">
        <v>3.5</v>
      </c>
      <c r="Z41" s="268">
        <v>4.3</v>
      </c>
      <c r="AA41" s="269">
        <v>4.0999999999999996</v>
      </c>
      <c r="AB41" s="118">
        <v>4.3</v>
      </c>
      <c r="AC41" s="119">
        <v>4</v>
      </c>
      <c r="AD41" s="118">
        <v>3.9</v>
      </c>
      <c r="AE41" s="119">
        <v>4</v>
      </c>
      <c r="AF41" s="118">
        <v>4.0999999999999996</v>
      </c>
      <c r="AG41" s="119">
        <v>5</v>
      </c>
      <c r="AH41" s="118">
        <v>5.6</v>
      </c>
      <c r="AI41" s="119">
        <v>5.4</v>
      </c>
      <c r="AJ41" s="120">
        <v>5</v>
      </c>
      <c r="AK41" s="270">
        <v>3.7</v>
      </c>
      <c r="AL41" s="271">
        <v>1.1000000000000001</v>
      </c>
      <c r="AM41" s="272">
        <v>0.1</v>
      </c>
      <c r="AN41" s="273">
        <v>0</v>
      </c>
      <c r="AO41" s="271">
        <v>0.2</v>
      </c>
      <c r="AP41" s="271">
        <v>-0.4</v>
      </c>
      <c r="AQ41" s="271">
        <v>-0.8</v>
      </c>
      <c r="AR41" s="271">
        <v>-1.3</v>
      </c>
      <c r="AS41" s="271">
        <v>-1.5</v>
      </c>
      <c r="AT41" s="271">
        <v>-2.1</v>
      </c>
      <c r="AU41" s="271">
        <v>-1.5</v>
      </c>
      <c r="AV41" s="271">
        <v>-1.3</v>
      </c>
      <c r="AW41" s="271">
        <v>-0.2</v>
      </c>
      <c r="AX41" s="274">
        <v>1.9</v>
      </c>
      <c r="AY41" s="275">
        <v>2.7</v>
      </c>
      <c r="AZ41" s="276">
        <v>2.7</v>
      </c>
      <c r="BA41" s="271">
        <v>2.2000000000000002</v>
      </c>
      <c r="BB41" s="271">
        <v>2.4</v>
      </c>
      <c r="BC41" s="272">
        <v>2.2999999999999998</v>
      </c>
      <c r="BD41" s="272">
        <v>2.1</v>
      </c>
      <c r="BE41" s="272">
        <v>1.1000000000000001</v>
      </c>
      <c r="BF41" s="272">
        <v>1.2350000000000001</v>
      </c>
      <c r="BG41" s="272">
        <v>1.1000000000000001</v>
      </c>
      <c r="BH41" s="272">
        <v>1.1000000000000001</v>
      </c>
      <c r="BI41" s="272">
        <v>1.2</v>
      </c>
      <c r="BJ41" s="275">
        <v>1.1000000000000001</v>
      </c>
      <c r="BK41" s="277">
        <v>1.5</v>
      </c>
      <c r="BL41" s="277">
        <v>1.6</v>
      </c>
      <c r="BM41" s="277">
        <v>2.1</v>
      </c>
      <c r="BN41" s="277">
        <v>2.7</v>
      </c>
      <c r="BO41" s="277">
        <v>3.2</v>
      </c>
      <c r="BP41" s="277">
        <v>3.6</v>
      </c>
      <c r="BQ41" s="277">
        <v>3.6</v>
      </c>
      <c r="BR41" s="277">
        <v>3.6</v>
      </c>
      <c r="BS41" s="277">
        <v>3.8</v>
      </c>
      <c r="BT41" s="277">
        <v>3.9</v>
      </c>
      <c r="BU41" s="277">
        <v>3.5</v>
      </c>
      <c r="BV41" s="277">
        <v>3.4</v>
      </c>
      <c r="BW41" s="277">
        <v>3</v>
      </c>
      <c r="BX41" s="277">
        <v>2.9</v>
      </c>
      <c r="BY41" s="277">
        <v>2.9</v>
      </c>
      <c r="BZ41" s="277">
        <v>2.7</v>
      </c>
      <c r="CA41" s="277">
        <v>2.2999999999999998</v>
      </c>
      <c r="CB41" s="277">
        <v>1.7</v>
      </c>
      <c r="CC41" s="277">
        <v>1.7</v>
      </c>
      <c r="CD41" s="277">
        <v>1.4079999999999999</v>
      </c>
      <c r="CE41" s="277">
        <v>1.7</v>
      </c>
      <c r="CF41" s="277">
        <v>2</v>
      </c>
      <c r="CG41" s="277">
        <v>2.2000000000000002</v>
      </c>
      <c r="CH41" s="277">
        <v>1.8</v>
      </c>
      <c r="CI41" s="277">
        <v>1.7</v>
      </c>
      <c r="CJ41" s="277">
        <v>1.6</v>
      </c>
      <c r="CK41" s="277">
        <v>2</v>
      </c>
      <c r="CL41" s="277">
        <v>1.5</v>
      </c>
      <c r="CM41" s="277">
        <v>1.0629999999999999</v>
      </c>
      <c r="CN41" s="277">
        <v>1.36</v>
      </c>
      <c r="CO41" s="277">
        <v>1.754</v>
      </c>
      <c r="CP41" s="277">
        <v>1.9610000000000001</v>
      </c>
      <c r="CQ41" s="277">
        <v>1.6</v>
      </c>
      <c r="CR41" s="278">
        <v>1.1819999999999999</v>
      </c>
      <c r="CS41" s="278">
        <v>0.96399999999999997</v>
      </c>
      <c r="CT41" s="278">
        <v>1.2370000000000001</v>
      </c>
      <c r="CU41" s="278">
        <v>1.502</v>
      </c>
      <c r="CV41" s="278">
        <v>1.579</v>
      </c>
      <c r="CW41" s="279">
        <v>1.1259999999999999</v>
      </c>
      <c r="CX41" s="279">
        <v>1.512</v>
      </c>
      <c r="CY41" s="279">
        <v>1.9530000000000001</v>
      </c>
      <c r="CZ41" s="279">
        <v>2.1269999999999998</v>
      </c>
      <c r="DA41" s="278">
        <v>2.0720000000000001</v>
      </c>
      <c r="DB41" s="278">
        <v>1.992</v>
      </c>
      <c r="DC41" s="278">
        <v>1.7</v>
      </c>
      <c r="DD41" s="278">
        <v>1.7</v>
      </c>
      <c r="DE41" s="278">
        <v>1.6639999999999999</v>
      </c>
      <c r="DF41" s="278">
        <v>1.3220000000000001</v>
      </c>
      <c r="DG41" s="278">
        <v>0.75600000000000001</v>
      </c>
      <c r="DH41" s="278">
        <v>-8.8999999999999996E-2</v>
      </c>
      <c r="DI41" s="278">
        <v>-2.5000000000000001E-2</v>
      </c>
      <c r="DJ41" s="278">
        <v>-7.3999999999999996E-2</v>
      </c>
      <c r="DK41" s="278">
        <v>-0.2</v>
      </c>
    </row>
    <row r="42" spans="1:115" ht="26.25">
      <c r="A42" s="1">
        <v>67</v>
      </c>
      <c r="B42" s="235" t="s">
        <v>58</v>
      </c>
      <c r="C42" s="236"/>
      <c r="D42" s="115">
        <v>0.5</v>
      </c>
      <c r="E42" s="115">
        <v>0.4</v>
      </c>
      <c r="F42" s="115">
        <v>0.3</v>
      </c>
      <c r="G42" s="115">
        <v>0.4</v>
      </c>
      <c r="H42" s="115">
        <v>0.6</v>
      </c>
      <c r="I42" s="115">
        <v>0.5</v>
      </c>
      <c r="J42" s="115">
        <v>0.3</v>
      </c>
      <c r="K42" s="115">
        <v>1</v>
      </c>
      <c r="L42" s="115">
        <v>0.6</v>
      </c>
      <c r="M42" s="115">
        <v>0.3</v>
      </c>
      <c r="N42" s="116">
        <v>0.1</v>
      </c>
      <c r="O42" s="116">
        <v>0</v>
      </c>
      <c r="P42" s="116">
        <v>-0.3</v>
      </c>
      <c r="Q42" s="116">
        <v>-0.5</v>
      </c>
      <c r="R42" s="116">
        <v>-0.4</v>
      </c>
      <c r="S42" s="116">
        <v>-0.4</v>
      </c>
      <c r="T42" s="116">
        <v>-0.6</v>
      </c>
      <c r="U42" s="116">
        <v>-0.2</v>
      </c>
      <c r="V42" s="116">
        <v>0</v>
      </c>
      <c r="W42" s="116">
        <v>-0.2</v>
      </c>
      <c r="X42" s="116">
        <v>-0.2</v>
      </c>
      <c r="Y42" s="116">
        <v>0.3</v>
      </c>
      <c r="Z42" s="116">
        <v>0.6</v>
      </c>
      <c r="AA42" s="117">
        <v>0.7</v>
      </c>
      <c r="AB42" s="118">
        <v>0.7</v>
      </c>
      <c r="AC42" s="119">
        <v>1</v>
      </c>
      <c r="AD42" s="118">
        <v>1.2</v>
      </c>
      <c r="AE42" s="119">
        <v>0.8</v>
      </c>
      <c r="AF42" s="118">
        <v>1.3</v>
      </c>
      <c r="AG42" s="119">
        <v>2</v>
      </c>
      <c r="AH42" s="118">
        <v>2.2999999999999998</v>
      </c>
      <c r="AI42" s="119">
        <v>2.1</v>
      </c>
      <c r="AJ42" s="120">
        <v>2.1</v>
      </c>
      <c r="AK42" s="224">
        <v>1.7</v>
      </c>
      <c r="AL42" s="237">
        <v>1</v>
      </c>
      <c r="AM42" s="226">
        <v>0.4</v>
      </c>
      <c r="AN42" s="280">
        <v>0</v>
      </c>
      <c r="AO42" s="237">
        <v>-0.1</v>
      </c>
      <c r="AP42" s="237">
        <v>-0.3</v>
      </c>
      <c r="AQ42" s="237">
        <v>-0.1</v>
      </c>
      <c r="AR42" s="237">
        <v>-1.1000000000000001</v>
      </c>
      <c r="AS42" s="237">
        <v>-1.8</v>
      </c>
      <c r="AT42" s="237">
        <v>-2.2999999999999998</v>
      </c>
      <c r="AU42" s="237">
        <v>-2.2999999999999998</v>
      </c>
      <c r="AV42" s="237">
        <v>-2.2999999999999998</v>
      </c>
      <c r="AW42" s="237">
        <v>-2.6</v>
      </c>
      <c r="AX42" s="281">
        <v>-1.9</v>
      </c>
      <c r="AY42" s="282">
        <v>-1.7</v>
      </c>
      <c r="AZ42" s="283">
        <v>-1.3</v>
      </c>
      <c r="BA42" s="237">
        <v>-1.1000000000000001</v>
      </c>
      <c r="BB42" s="237">
        <v>-1.1000000000000001</v>
      </c>
      <c r="BC42" s="226">
        <v>-1.2</v>
      </c>
      <c r="BD42" s="226">
        <v>-0.9</v>
      </c>
      <c r="BE42" s="226">
        <v>-0.7</v>
      </c>
      <c r="BF42" s="226">
        <v>-0.9</v>
      </c>
      <c r="BG42" s="226">
        <v>-0.9</v>
      </c>
      <c r="BH42" s="226">
        <v>-0.6</v>
      </c>
      <c r="BI42" s="226">
        <v>0.2</v>
      </c>
      <c r="BJ42" s="282">
        <v>0.1</v>
      </c>
      <c r="BK42" s="284">
        <v>0</v>
      </c>
      <c r="BL42" s="284">
        <v>0</v>
      </c>
      <c r="BM42" s="284">
        <v>0</v>
      </c>
      <c r="BN42" s="284">
        <v>-0.5</v>
      </c>
      <c r="BO42" s="284">
        <v>-0.5</v>
      </c>
      <c r="BP42" s="284">
        <v>-0.4</v>
      </c>
      <c r="BQ42" s="284">
        <v>-0.4</v>
      </c>
      <c r="BR42" s="284">
        <v>0.2</v>
      </c>
      <c r="BS42" s="284">
        <v>0.2</v>
      </c>
      <c r="BT42" s="284">
        <v>0</v>
      </c>
      <c r="BU42" s="284">
        <v>-0.2</v>
      </c>
      <c r="BV42" s="284">
        <v>-0.5</v>
      </c>
      <c r="BW42" s="284">
        <v>-0.1</v>
      </c>
      <c r="BX42" s="284">
        <v>0.1</v>
      </c>
      <c r="BY42" s="284">
        <v>0.3</v>
      </c>
      <c r="BZ42" s="284">
        <v>0.5</v>
      </c>
      <c r="CA42" s="284">
        <v>0.5</v>
      </c>
      <c r="CB42" s="284">
        <v>0.2</v>
      </c>
      <c r="CC42" s="284">
        <v>-0.5</v>
      </c>
      <c r="CD42" s="284">
        <v>-0.4</v>
      </c>
      <c r="CE42" s="284">
        <v>-0.5</v>
      </c>
      <c r="CF42" s="284">
        <v>-0.3</v>
      </c>
      <c r="CG42" s="284">
        <v>-0.7</v>
      </c>
      <c r="CH42" s="284">
        <v>-0.2</v>
      </c>
      <c r="CI42" s="284">
        <v>-0.1</v>
      </c>
      <c r="CJ42" s="284">
        <v>-0.1</v>
      </c>
      <c r="CK42" s="284">
        <v>-0.6</v>
      </c>
      <c r="CL42" s="284">
        <v>-0.89700000000000002</v>
      </c>
      <c r="CM42" s="284">
        <v>-0.7</v>
      </c>
      <c r="CN42" s="284">
        <v>-0.7</v>
      </c>
      <c r="CO42" s="284">
        <v>0.20100000000000001</v>
      </c>
      <c r="CP42" s="284">
        <v>-0.3</v>
      </c>
      <c r="CQ42" s="284">
        <v>-0.1</v>
      </c>
      <c r="CR42" s="285">
        <v>1.004</v>
      </c>
      <c r="CS42" s="278">
        <v>1.1040000000000001</v>
      </c>
      <c r="CT42" s="285">
        <v>1.613</v>
      </c>
      <c r="CU42" s="285">
        <v>1.611</v>
      </c>
      <c r="CV42" s="285">
        <v>1.41</v>
      </c>
      <c r="CW42" s="286">
        <v>1.512</v>
      </c>
      <c r="CX42" s="286">
        <v>1.61</v>
      </c>
      <c r="CY42" s="286">
        <v>3.41</v>
      </c>
      <c r="CZ42" s="286">
        <v>3.7069999999999999</v>
      </c>
      <c r="DA42" s="285">
        <v>3.6070000000000002</v>
      </c>
      <c r="DB42" s="285">
        <v>3.4</v>
      </c>
      <c r="DC42" s="285">
        <v>3.29</v>
      </c>
      <c r="DD42" s="285">
        <v>3.2</v>
      </c>
      <c r="DE42" s="285">
        <v>2.88</v>
      </c>
      <c r="DF42" s="285">
        <v>2.3809999999999998</v>
      </c>
      <c r="DG42" s="285">
        <v>2.379</v>
      </c>
      <c r="DH42" s="285">
        <v>2.383</v>
      </c>
      <c r="DI42" s="285">
        <v>2.1850000000000001</v>
      </c>
      <c r="DJ42" s="285">
        <v>2.2770000000000001</v>
      </c>
      <c r="DK42" s="285" t="s">
        <v>56</v>
      </c>
    </row>
    <row r="43" spans="1:115" ht="26.25">
      <c r="A43" s="1">
        <v>68</v>
      </c>
      <c r="B43" s="235" t="s">
        <v>52</v>
      </c>
      <c r="C43" s="236"/>
      <c r="D43" s="115">
        <v>2.1</v>
      </c>
      <c r="E43" s="115">
        <v>2.1</v>
      </c>
      <c r="F43" s="115">
        <v>1.8</v>
      </c>
      <c r="G43" s="115">
        <v>2</v>
      </c>
      <c r="H43" s="115">
        <v>1.9</v>
      </c>
      <c r="I43" s="115">
        <v>2</v>
      </c>
      <c r="J43" s="115">
        <v>1.9</v>
      </c>
      <c r="K43" s="115">
        <v>1.7</v>
      </c>
      <c r="L43" s="115">
        <v>1</v>
      </c>
      <c r="M43" s="115">
        <v>1.1000000000000001</v>
      </c>
      <c r="N43" s="116">
        <v>1.5</v>
      </c>
      <c r="O43" s="116">
        <v>1.4</v>
      </c>
      <c r="P43" s="116">
        <v>1.6</v>
      </c>
      <c r="Q43" s="116">
        <v>1.7</v>
      </c>
      <c r="R43" s="116">
        <v>1.9</v>
      </c>
      <c r="S43" s="116">
        <v>1.9</v>
      </c>
      <c r="T43" s="116">
        <v>1.9</v>
      </c>
      <c r="U43" s="116">
        <v>1.3</v>
      </c>
      <c r="V43" s="116">
        <v>1.5</v>
      </c>
      <c r="W43" s="116">
        <v>1.5</v>
      </c>
      <c r="X43" s="116">
        <v>2</v>
      </c>
      <c r="Y43" s="116">
        <v>2.2000000000000002</v>
      </c>
      <c r="Z43" s="116">
        <v>2.9</v>
      </c>
      <c r="AA43" s="117">
        <v>2.6</v>
      </c>
      <c r="AB43" s="118">
        <v>2.8</v>
      </c>
      <c r="AC43" s="119">
        <v>2.8</v>
      </c>
      <c r="AD43" s="118">
        <v>3.1</v>
      </c>
      <c r="AE43" s="119">
        <v>2.4</v>
      </c>
      <c r="AF43" s="118">
        <v>3</v>
      </c>
      <c r="AG43" s="119">
        <v>3.2</v>
      </c>
      <c r="AH43" s="118">
        <v>3.3</v>
      </c>
      <c r="AI43" s="119">
        <v>3.1</v>
      </c>
      <c r="AJ43" s="120">
        <v>2.9</v>
      </c>
      <c r="AK43" s="270">
        <v>2.4</v>
      </c>
      <c r="AL43" s="271">
        <v>1.3</v>
      </c>
      <c r="AM43" s="272">
        <v>1</v>
      </c>
      <c r="AN43" s="273">
        <v>1</v>
      </c>
      <c r="AO43" s="271">
        <v>1.1000000000000001</v>
      </c>
      <c r="AP43" s="271">
        <v>0.4</v>
      </c>
      <c r="AQ43" s="271">
        <v>0.6</v>
      </c>
      <c r="AR43" s="271">
        <v>0</v>
      </c>
      <c r="AS43" s="271">
        <v>0.1</v>
      </c>
      <c r="AT43" s="271">
        <v>-0.5</v>
      </c>
      <c r="AU43" s="271">
        <v>0</v>
      </c>
      <c r="AV43" s="271">
        <v>-0.3</v>
      </c>
      <c r="AW43" s="271">
        <v>0</v>
      </c>
      <c r="AX43" s="274">
        <v>0.3</v>
      </c>
      <c r="AY43" s="275">
        <v>0.9</v>
      </c>
      <c r="AZ43" s="276">
        <v>0.7</v>
      </c>
      <c r="BA43" s="271">
        <v>0.6</v>
      </c>
      <c r="BB43" s="271">
        <v>1.2</v>
      </c>
      <c r="BC43" s="272">
        <v>1.1000000000000001</v>
      </c>
      <c r="BD43" s="272">
        <v>1.3</v>
      </c>
      <c r="BE43" s="272">
        <v>0.8</v>
      </c>
      <c r="BF43" s="272">
        <v>1.2</v>
      </c>
      <c r="BG43" s="272">
        <v>1</v>
      </c>
      <c r="BH43" s="272">
        <v>1.3</v>
      </c>
      <c r="BI43" s="272">
        <v>1.3</v>
      </c>
      <c r="BJ43" s="275">
        <v>1.6</v>
      </c>
      <c r="BK43" s="277">
        <v>1.8</v>
      </c>
      <c r="BL43" s="277">
        <v>2</v>
      </c>
      <c r="BM43" s="277">
        <v>2.1</v>
      </c>
      <c r="BN43" s="277">
        <v>2.1</v>
      </c>
      <c r="BO43" s="277">
        <v>2.4</v>
      </c>
      <c r="BP43" s="277">
        <v>2.2999999999999998</v>
      </c>
      <c r="BQ43" s="277">
        <v>2.2999999999999998</v>
      </c>
      <c r="BR43" s="277">
        <v>2.4</v>
      </c>
      <c r="BS43" s="277">
        <v>2.4</v>
      </c>
      <c r="BT43" s="277">
        <v>2.6</v>
      </c>
      <c r="BU43" s="277">
        <v>2.5</v>
      </c>
      <c r="BV43" s="277">
        <v>2.4</v>
      </c>
      <c r="BW43" s="277">
        <v>2</v>
      </c>
      <c r="BX43" s="277">
        <v>2.1</v>
      </c>
      <c r="BY43" s="277">
        <v>2.2999999999999998</v>
      </c>
      <c r="BZ43" s="277">
        <v>2.1</v>
      </c>
      <c r="CA43" s="277">
        <v>2.1</v>
      </c>
      <c r="CB43" s="277">
        <v>1.9</v>
      </c>
      <c r="CC43" s="277">
        <v>1.7</v>
      </c>
      <c r="CD43" s="277">
        <v>1.712</v>
      </c>
      <c r="CE43" s="277">
        <v>2.1</v>
      </c>
      <c r="CF43" s="277">
        <v>2</v>
      </c>
      <c r="CG43" s="277">
        <v>2</v>
      </c>
      <c r="CH43" s="277">
        <v>1.9</v>
      </c>
      <c r="CI43" s="277">
        <v>2</v>
      </c>
      <c r="CJ43" s="277">
        <v>1.7</v>
      </c>
      <c r="CK43" s="277">
        <v>1.5</v>
      </c>
      <c r="CL43" s="277">
        <v>1.4</v>
      </c>
      <c r="CM43" s="277">
        <v>1.155</v>
      </c>
      <c r="CN43" s="277">
        <v>1.54</v>
      </c>
      <c r="CO43" s="277">
        <v>1.8320000000000001</v>
      </c>
      <c r="CP43" s="277">
        <v>1.921</v>
      </c>
      <c r="CQ43" s="277">
        <v>1.6</v>
      </c>
      <c r="CR43" s="277">
        <v>1.4339999999999999</v>
      </c>
      <c r="CS43" s="277">
        <v>1.2430000000000001</v>
      </c>
      <c r="CT43" s="277">
        <v>1.337</v>
      </c>
      <c r="CU43" s="277">
        <v>1.429</v>
      </c>
      <c r="CV43" s="277">
        <v>1.34</v>
      </c>
      <c r="CW43" s="287">
        <v>1.2370000000000001</v>
      </c>
      <c r="CX43" s="287">
        <v>1.7310000000000001</v>
      </c>
      <c r="CY43" s="287">
        <v>1.3320000000000001</v>
      </c>
      <c r="CZ43" s="287">
        <v>0.85299999999999998</v>
      </c>
      <c r="DA43" s="277">
        <v>1.042</v>
      </c>
      <c r="DB43" s="277">
        <v>0.84799999999999998</v>
      </c>
      <c r="DC43" s="277">
        <v>0.84799999999999998</v>
      </c>
      <c r="DD43" s="277">
        <v>0.84799999999999998</v>
      </c>
      <c r="DE43" s="277">
        <v>0.755</v>
      </c>
      <c r="DF43" s="277">
        <v>0.56599999999999995</v>
      </c>
      <c r="DG43" s="277">
        <v>0.188</v>
      </c>
      <c r="DH43" s="277">
        <v>-0.28299999999999997</v>
      </c>
      <c r="DI43" s="277">
        <v>9.4E-2</v>
      </c>
      <c r="DJ43" s="277">
        <v>0.28100000000000003</v>
      </c>
      <c r="DK43" s="277">
        <v>0.46899999999999997</v>
      </c>
    </row>
    <row r="44" spans="1:115" ht="26.25">
      <c r="A44" s="1">
        <v>69</v>
      </c>
      <c r="B44" s="235" t="s">
        <v>61</v>
      </c>
      <c r="C44" s="236"/>
      <c r="D44" s="81">
        <v>2</v>
      </c>
      <c r="E44" s="81">
        <v>1.9</v>
      </c>
      <c r="F44" s="81">
        <v>1.5</v>
      </c>
      <c r="G44" s="81">
        <v>1.7</v>
      </c>
      <c r="H44" s="81">
        <v>2.1</v>
      </c>
      <c r="I44" s="81">
        <v>1.9</v>
      </c>
      <c r="J44" s="81">
        <v>1.9</v>
      </c>
      <c r="K44" s="81">
        <v>1.9</v>
      </c>
      <c r="L44" s="81">
        <v>1.2</v>
      </c>
      <c r="M44" s="81">
        <v>1.1000000000000001</v>
      </c>
      <c r="N44" s="82">
        <v>1.4</v>
      </c>
      <c r="O44" s="82">
        <v>1.5</v>
      </c>
      <c r="P44" s="82">
        <v>1.3</v>
      </c>
      <c r="Q44" s="82">
        <v>1</v>
      </c>
      <c r="R44" s="82">
        <v>1.2</v>
      </c>
      <c r="S44" s="82">
        <v>1.3</v>
      </c>
      <c r="T44" s="82">
        <v>1</v>
      </c>
      <c r="U44" s="82">
        <v>1.2</v>
      </c>
      <c r="V44" s="82">
        <v>1.1000000000000001</v>
      </c>
      <c r="W44" s="82">
        <v>1.2</v>
      </c>
      <c r="X44" s="82">
        <v>1.5</v>
      </c>
      <c r="Y44" s="82">
        <v>2</v>
      </c>
      <c r="Z44" s="82">
        <v>2.4</v>
      </c>
      <c r="AA44" s="83">
        <v>2.6</v>
      </c>
      <c r="AB44" s="118">
        <v>2.8</v>
      </c>
      <c r="AC44" s="119">
        <v>2.8</v>
      </c>
      <c r="AD44" s="118">
        <v>3.2</v>
      </c>
      <c r="AE44" s="119">
        <v>3</v>
      </c>
      <c r="AF44" s="118">
        <v>3.3</v>
      </c>
      <c r="AG44" s="119">
        <v>3.6</v>
      </c>
      <c r="AH44" s="118">
        <v>3.6</v>
      </c>
      <c r="AI44" s="119">
        <v>3.2</v>
      </c>
      <c r="AJ44" s="120">
        <v>3</v>
      </c>
      <c r="AK44" s="224">
        <v>2.7</v>
      </c>
      <c r="AL44" s="237">
        <v>1.6</v>
      </c>
      <c r="AM44" s="226">
        <v>1</v>
      </c>
      <c r="AN44" s="280">
        <v>0.7</v>
      </c>
      <c r="AO44" s="237">
        <v>0.9</v>
      </c>
      <c r="AP44" s="237">
        <v>0.3</v>
      </c>
      <c r="AQ44" s="237">
        <v>0.1</v>
      </c>
      <c r="AR44" s="237">
        <v>-0.3</v>
      </c>
      <c r="AS44" s="237">
        <v>-0.5</v>
      </c>
      <c r="AT44" s="237">
        <v>-0.7</v>
      </c>
      <c r="AU44" s="237">
        <v>-0.2</v>
      </c>
      <c r="AV44" s="237">
        <v>-0.4</v>
      </c>
      <c r="AW44" s="237">
        <v>-0.2</v>
      </c>
      <c r="AX44" s="281">
        <v>0.4</v>
      </c>
      <c r="AY44" s="282">
        <v>0.9</v>
      </c>
      <c r="AZ44" s="283">
        <v>1.1000000000000001</v>
      </c>
      <c r="BA44" s="237">
        <v>1.3</v>
      </c>
      <c r="BB44" s="237">
        <v>1.6</v>
      </c>
      <c r="BC44" s="226">
        <v>1.7</v>
      </c>
      <c r="BD44" s="226">
        <v>1.6</v>
      </c>
      <c r="BE44" s="226">
        <v>1.5</v>
      </c>
      <c r="BF44" s="226">
        <v>1.9</v>
      </c>
      <c r="BG44" s="226">
        <v>1.6</v>
      </c>
      <c r="BH44" s="226">
        <v>1.6</v>
      </c>
      <c r="BI44" s="226">
        <v>1.6</v>
      </c>
      <c r="BJ44" s="282">
        <v>1.6</v>
      </c>
      <c r="BK44" s="284">
        <v>1.8</v>
      </c>
      <c r="BL44" s="284">
        <v>1.8</v>
      </c>
      <c r="BM44" s="284">
        <v>1.7</v>
      </c>
      <c r="BN44" s="284">
        <v>2</v>
      </c>
      <c r="BO44" s="284">
        <v>2.1</v>
      </c>
      <c r="BP44" s="284">
        <v>2</v>
      </c>
      <c r="BQ44" s="284">
        <v>2.1</v>
      </c>
      <c r="BR44" s="284">
        <v>19</v>
      </c>
      <c r="BS44" s="284">
        <v>2.2000000000000002</v>
      </c>
      <c r="BT44" s="284">
        <v>2.2000000000000002</v>
      </c>
      <c r="BU44" s="284">
        <v>2.2999999999999998</v>
      </c>
      <c r="BV44" s="284">
        <v>2.5</v>
      </c>
      <c r="BW44" s="284">
        <v>2.5</v>
      </c>
      <c r="BX44" s="284">
        <v>2.2999999999999998</v>
      </c>
      <c r="BY44" s="284">
        <v>2.2999999999999998</v>
      </c>
      <c r="BZ44" s="284">
        <v>2.2999999999999998</v>
      </c>
      <c r="CA44" s="284">
        <v>2.1</v>
      </c>
      <c r="CB44" s="284">
        <v>2</v>
      </c>
      <c r="CC44" s="284">
        <v>1.9</v>
      </c>
      <c r="CD44" s="284">
        <v>1.9370000000000001</v>
      </c>
      <c r="CE44" s="284">
        <v>2.1</v>
      </c>
      <c r="CF44" s="284">
        <v>1.9</v>
      </c>
      <c r="CG44" s="284">
        <v>1.9</v>
      </c>
      <c r="CH44" s="284">
        <v>1.4</v>
      </c>
      <c r="CI44" s="284">
        <v>1.3</v>
      </c>
      <c r="CJ44" s="284">
        <v>1.2</v>
      </c>
      <c r="CK44" s="284">
        <v>1</v>
      </c>
      <c r="CL44" s="284">
        <v>1</v>
      </c>
      <c r="CM44" s="284">
        <v>0.68799999999999994</v>
      </c>
      <c r="CN44" s="284">
        <v>0.8</v>
      </c>
      <c r="CO44" s="284">
        <v>0.92600000000000005</v>
      </c>
      <c r="CP44" s="284">
        <v>1.073</v>
      </c>
      <c r="CQ44" s="284">
        <v>0.9</v>
      </c>
      <c r="CR44" s="284">
        <v>0.88700000000000001</v>
      </c>
      <c r="CS44" s="284">
        <v>0.56100000000000005</v>
      </c>
      <c r="CT44" s="284">
        <v>0.68100000000000005</v>
      </c>
      <c r="CU44" s="284">
        <v>0.69399999999999995</v>
      </c>
      <c r="CV44" s="284">
        <v>0.65</v>
      </c>
      <c r="CW44" s="288">
        <v>0.91700000000000004</v>
      </c>
      <c r="CX44" s="288">
        <v>1.042</v>
      </c>
      <c r="CY44" s="288">
        <v>0.71499999999999997</v>
      </c>
      <c r="CZ44" s="288">
        <v>0.69099999999999995</v>
      </c>
      <c r="DA44" s="284">
        <v>0.48599999999999999</v>
      </c>
      <c r="DB44" s="284">
        <v>0.46400000000000002</v>
      </c>
      <c r="DC44" s="284">
        <v>0.438</v>
      </c>
      <c r="DD44" s="284">
        <v>0.28999999999999998</v>
      </c>
      <c r="DE44" s="284">
        <v>0.45600000000000002</v>
      </c>
      <c r="DF44" s="284">
        <v>0.32200000000000001</v>
      </c>
      <c r="DG44" s="284">
        <v>7.0999999999999994E-2</v>
      </c>
      <c r="DH44" s="284">
        <v>-0.378</v>
      </c>
      <c r="DI44" s="284">
        <v>-0.27400000000000002</v>
      </c>
      <c r="DJ44" s="284">
        <v>-6.2E-2</v>
      </c>
      <c r="DK44" s="284">
        <v>9.4E-2</v>
      </c>
    </row>
    <row r="45" spans="1:115" ht="26.25">
      <c r="A45" s="1">
        <v>70</v>
      </c>
      <c r="B45" s="289" t="s">
        <v>62</v>
      </c>
      <c r="C45" s="290"/>
      <c r="D45" s="115">
        <v>2.2999999999999998</v>
      </c>
      <c r="E45" s="115">
        <v>2.4</v>
      </c>
      <c r="F45" s="115">
        <v>2.2999999999999998</v>
      </c>
      <c r="G45" s="115">
        <v>2.6</v>
      </c>
      <c r="H45" s="115">
        <v>2.9</v>
      </c>
      <c r="I45" s="115">
        <v>3.3</v>
      </c>
      <c r="J45" s="115">
        <v>3.3</v>
      </c>
      <c r="K45" s="115">
        <v>3.4</v>
      </c>
      <c r="L45" s="115">
        <v>3.6</v>
      </c>
      <c r="M45" s="115">
        <v>3.7</v>
      </c>
      <c r="N45" s="116">
        <v>3.9</v>
      </c>
      <c r="O45" s="116">
        <v>4.4000000000000004</v>
      </c>
      <c r="P45" s="116">
        <v>4.2</v>
      </c>
      <c r="Q45" s="116">
        <v>4.5999999999999996</v>
      </c>
      <c r="R45" s="116">
        <v>4.9000000000000004</v>
      </c>
      <c r="S45" s="116">
        <v>4.5</v>
      </c>
      <c r="T45" s="116">
        <v>4.3</v>
      </c>
      <c r="U45" s="116">
        <v>4.5</v>
      </c>
      <c r="V45" s="116">
        <v>3.8</v>
      </c>
      <c r="W45" s="116">
        <v>3.5</v>
      </c>
      <c r="X45" s="116">
        <v>3.2</v>
      </c>
      <c r="Y45" s="116">
        <v>4.2</v>
      </c>
      <c r="Z45" s="116">
        <v>4.3</v>
      </c>
      <c r="AA45" s="117">
        <v>4</v>
      </c>
      <c r="AB45" s="118">
        <v>4.0999999999999996</v>
      </c>
      <c r="AC45" s="291">
        <v>4.0999999999999996</v>
      </c>
      <c r="AD45" s="118">
        <v>3.8</v>
      </c>
      <c r="AE45" s="119">
        <v>4.2</v>
      </c>
      <c r="AF45" s="118">
        <v>4.3</v>
      </c>
      <c r="AG45" s="119">
        <v>4.5999999999999996</v>
      </c>
      <c r="AH45" s="118">
        <v>5</v>
      </c>
      <c r="AI45" s="119">
        <v>4.8</v>
      </c>
      <c r="AJ45" s="120">
        <v>5</v>
      </c>
      <c r="AK45" s="224">
        <v>4.2</v>
      </c>
      <c r="AL45" s="237">
        <v>3</v>
      </c>
      <c r="AM45" s="226">
        <v>0.9</v>
      </c>
      <c r="AN45" s="280">
        <v>0.1</v>
      </c>
      <c r="AO45" s="237">
        <v>0</v>
      </c>
      <c r="AP45" s="237">
        <v>-0.4</v>
      </c>
      <c r="AQ45" s="237">
        <v>-1.2</v>
      </c>
      <c r="AR45" s="237">
        <v>-1.1000000000000001</v>
      </c>
      <c r="AS45" s="237">
        <v>-1.6</v>
      </c>
      <c r="AT45" s="237">
        <v>-1.4</v>
      </c>
      <c r="AU45" s="237">
        <v>-1.3</v>
      </c>
      <c r="AV45" s="237">
        <v>-1.4</v>
      </c>
      <c r="AW45" s="237">
        <v>-0.8</v>
      </c>
      <c r="AX45" s="281">
        <v>0.3</v>
      </c>
      <c r="AY45" s="282">
        <v>2.4</v>
      </c>
      <c r="AZ45" s="283">
        <v>3.7</v>
      </c>
      <c r="BA45" s="237">
        <v>3.7</v>
      </c>
      <c r="BB45" s="237">
        <v>4.4000000000000004</v>
      </c>
      <c r="BC45" s="226">
        <v>5.3</v>
      </c>
      <c r="BD45" s="226">
        <v>5.0999999999999996</v>
      </c>
      <c r="BE45" s="226">
        <v>5</v>
      </c>
      <c r="BF45" s="226">
        <v>3.1</v>
      </c>
      <c r="BG45" s="226">
        <v>3.1</v>
      </c>
      <c r="BH45" s="226">
        <v>3</v>
      </c>
      <c r="BI45" s="226">
        <v>3.1</v>
      </c>
      <c r="BJ45" s="282">
        <v>3.2</v>
      </c>
      <c r="BK45" s="284">
        <v>3.7</v>
      </c>
      <c r="BL45" s="284">
        <v>4</v>
      </c>
      <c r="BM45" s="284">
        <v>4.3</v>
      </c>
      <c r="BN45" s="284">
        <v>4.0999999999999996</v>
      </c>
      <c r="BO45" s="284">
        <v>4.5</v>
      </c>
      <c r="BP45" s="284">
        <v>4.5</v>
      </c>
      <c r="BQ45" s="284">
        <v>4.2</v>
      </c>
      <c r="BR45" s="284">
        <v>4.4000000000000004</v>
      </c>
      <c r="BS45" s="284">
        <v>4.5</v>
      </c>
      <c r="BT45" s="284">
        <v>5.2</v>
      </c>
      <c r="BU45" s="284">
        <v>5</v>
      </c>
      <c r="BV45" s="284">
        <v>4.8</v>
      </c>
      <c r="BW45" s="284">
        <v>4.2</v>
      </c>
      <c r="BX45" s="284">
        <v>3.6</v>
      </c>
      <c r="BY45" s="284">
        <v>3.4</v>
      </c>
      <c r="BZ45" s="284">
        <v>3.5</v>
      </c>
      <c r="CA45" s="284">
        <v>3</v>
      </c>
      <c r="CB45" s="284">
        <v>2.7610000000000001</v>
      </c>
      <c r="CC45" s="284">
        <v>2.4</v>
      </c>
      <c r="CD45" s="284">
        <v>2.5960000000000001</v>
      </c>
      <c r="CE45" s="284">
        <v>2.5</v>
      </c>
      <c r="CF45" s="284">
        <v>2.2000000000000002</v>
      </c>
      <c r="CG45" s="284">
        <v>2.6</v>
      </c>
      <c r="CH45" s="284">
        <v>2.6</v>
      </c>
      <c r="CI45" s="284">
        <v>2.7</v>
      </c>
      <c r="CJ45" s="284">
        <v>2.7</v>
      </c>
      <c r="CK45" s="284">
        <v>2.8</v>
      </c>
      <c r="CL45" s="284">
        <v>2.8</v>
      </c>
      <c r="CM45" s="284">
        <v>2.4409999999999998</v>
      </c>
      <c r="CN45" s="284">
        <v>2.7</v>
      </c>
      <c r="CO45" s="284">
        <v>2.944</v>
      </c>
      <c r="CP45" s="284">
        <v>2.694</v>
      </c>
      <c r="CQ45" s="284">
        <v>2.7</v>
      </c>
      <c r="CR45" s="284">
        <v>2.6739999999999999</v>
      </c>
      <c r="CS45" s="284">
        <v>2.1739999999999999</v>
      </c>
      <c r="CT45" s="284">
        <v>2.09</v>
      </c>
      <c r="CU45" s="284">
        <v>2</v>
      </c>
      <c r="CV45" s="284">
        <v>1.849</v>
      </c>
      <c r="CW45" s="288">
        <v>1.7569999999999999</v>
      </c>
      <c r="CX45" s="288">
        <v>1.6719999999999999</v>
      </c>
      <c r="CY45" s="288">
        <v>1.7470000000000001</v>
      </c>
      <c r="CZ45" s="288">
        <v>1.5069999999999999</v>
      </c>
      <c r="DA45" s="284">
        <v>1.9059999999999999</v>
      </c>
      <c r="DB45" s="284">
        <v>1.59</v>
      </c>
      <c r="DC45" s="284">
        <v>1.5029999999999999</v>
      </c>
      <c r="DD45" s="284">
        <v>1.2</v>
      </c>
      <c r="DE45" s="284">
        <v>1.2609999999999999</v>
      </c>
      <c r="DF45" s="284">
        <v>0.94499999999999995</v>
      </c>
      <c r="DG45" s="284">
        <v>0.54900000000000004</v>
      </c>
      <c r="DH45" s="284">
        <v>0.316</v>
      </c>
      <c r="DI45" s="284">
        <v>0</v>
      </c>
      <c r="DJ45" s="284">
        <v>-7.8E-2</v>
      </c>
      <c r="DK45" s="284">
        <v>-7.8E-2</v>
      </c>
    </row>
    <row r="46" spans="1:115" ht="27" thickBot="1">
      <c r="A46" s="1">
        <v>129</v>
      </c>
      <c r="B46" s="292" t="s">
        <v>63</v>
      </c>
      <c r="C46" s="293"/>
      <c r="D46" s="39">
        <v>2.0333333333333332</v>
      </c>
      <c r="E46" s="39">
        <v>2.2000000000000002</v>
      </c>
      <c r="F46" s="39">
        <v>2.3333333333333335</v>
      </c>
      <c r="G46" s="39">
        <v>2.4</v>
      </c>
      <c r="H46" s="39">
        <v>2.2444444444444445</v>
      </c>
      <c r="I46" s="39">
        <v>2.5</v>
      </c>
      <c r="J46" s="39">
        <v>2.5</v>
      </c>
      <c r="K46" s="39">
        <v>2.5</v>
      </c>
      <c r="L46" s="39">
        <v>2.5</v>
      </c>
      <c r="M46" s="39">
        <v>1.6</v>
      </c>
      <c r="N46" s="40">
        <v>1.6</v>
      </c>
      <c r="O46" s="40">
        <v>2</v>
      </c>
      <c r="P46" s="40">
        <v>1.9</v>
      </c>
      <c r="Q46" s="40">
        <v>2</v>
      </c>
      <c r="R46" s="40">
        <v>2.1</v>
      </c>
      <c r="S46" s="40">
        <v>2.2000000000000002</v>
      </c>
      <c r="T46" s="40">
        <v>1.9</v>
      </c>
      <c r="U46" s="40">
        <v>2</v>
      </c>
      <c r="V46" s="40">
        <v>2</v>
      </c>
      <c r="W46" s="40">
        <v>2</v>
      </c>
      <c r="X46" s="40">
        <v>2</v>
      </c>
      <c r="Y46" s="40">
        <v>2</v>
      </c>
      <c r="Z46" s="40">
        <v>2</v>
      </c>
      <c r="AA46" s="41">
        <v>2</v>
      </c>
      <c r="AB46" s="294">
        <v>3.2</v>
      </c>
      <c r="AC46" s="295">
        <v>3.3</v>
      </c>
      <c r="AD46" s="294">
        <v>3.6</v>
      </c>
      <c r="AE46" s="296">
        <v>3.6</v>
      </c>
      <c r="AF46" s="294">
        <v>3.7</v>
      </c>
      <c r="AG46" s="296">
        <v>4</v>
      </c>
      <c r="AH46" s="294">
        <v>4.0999999999999996</v>
      </c>
      <c r="AI46" s="296">
        <v>3.8</v>
      </c>
      <c r="AJ46" s="297">
        <v>3.6</v>
      </c>
      <c r="AK46" s="298">
        <v>3.2</v>
      </c>
      <c r="AL46" s="299">
        <v>2.1</v>
      </c>
      <c r="AM46" s="300">
        <v>1.6</v>
      </c>
      <c r="AN46" s="301">
        <v>1.1000000000000001</v>
      </c>
      <c r="AO46" s="299">
        <v>1.2</v>
      </c>
      <c r="AP46" s="299">
        <v>0.6</v>
      </c>
      <c r="AQ46" s="299">
        <v>0.6</v>
      </c>
      <c r="AR46" s="299">
        <v>0</v>
      </c>
      <c r="AS46" s="299">
        <v>-0.1</v>
      </c>
      <c r="AT46" s="299">
        <v>-0.6</v>
      </c>
      <c r="AU46" s="299">
        <v>-0.2</v>
      </c>
      <c r="AV46" s="299">
        <v>-0.3</v>
      </c>
      <c r="AW46" s="299">
        <v>-0.2</v>
      </c>
      <c r="AX46" s="302">
        <v>0.5</v>
      </c>
      <c r="AY46" s="303">
        <v>0.9</v>
      </c>
      <c r="AZ46" s="304">
        <v>1</v>
      </c>
      <c r="BA46" s="299">
        <v>0.9</v>
      </c>
      <c r="BB46" s="299">
        <v>1.4</v>
      </c>
      <c r="BC46" s="300">
        <v>1.5</v>
      </c>
      <c r="BD46" s="300">
        <v>1.6</v>
      </c>
      <c r="BE46" s="300">
        <v>1.4</v>
      </c>
      <c r="BF46" s="300">
        <v>1.7</v>
      </c>
      <c r="BG46" s="300">
        <v>1.6</v>
      </c>
      <c r="BH46" s="300">
        <v>1.9</v>
      </c>
      <c r="BI46" s="300">
        <v>1.9</v>
      </c>
      <c r="BJ46" s="303">
        <v>1.9</v>
      </c>
      <c r="BK46" s="305">
        <v>2.2000000000000002</v>
      </c>
      <c r="BL46" s="305">
        <v>2.2999999999999998</v>
      </c>
      <c r="BM46" s="305">
        <v>2.4</v>
      </c>
      <c r="BN46" s="305">
        <v>2.7</v>
      </c>
      <c r="BO46" s="305">
        <v>2.7</v>
      </c>
      <c r="BP46" s="305">
        <v>2.7</v>
      </c>
      <c r="BQ46" s="305">
        <v>2.7</v>
      </c>
      <c r="BR46" s="305">
        <v>2.5</v>
      </c>
      <c r="BS46" s="305">
        <v>2.5</v>
      </c>
      <c r="BT46" s="305">
        <v>3</v>
      </c>
      <c r="BU46" s="305">
        <v>3</v>
      </c>
      <c r="BV46" s="305">
        <v>3</v>
      </c>
      <c r="BW46" s="305">
        <v>2.7</v>
      </c>
      <c r="BX46" s="305">
        <v>2.7</v>
      </c>
      <c r="BY46" s="305">
        <v>2.7</v>
      </c>
      <c r="BZ46" s="305">
        <v>2.7</v>
      </c>
      <c r="CA46" s="305">
        <v>2.6</v>
      </c>
      <c r="CB46" s="305">
        <v>2.4</v>
      </c>
      <c r="CC46" s="305">
        <v>2.4</v>
      </c>
      <c r="CD46" s="305">
        <v>2.4180000000000001</v>
      </c>
      <c r="CE46" s="305">
        <v>2.6</v>
      </c>
      <c r="CF46" s="305">
        <v>2.61</v>
      </c>
      <c r="CG46" s="305">
        <v>2.4929999999999999</v>
      </c>
      <c r="CH46" s="305">
        <v>2.2000000000000002</v>
      </c>
      <c r="CI46" s="305">
        <v>2.2200000000000002</v>
      </c>
      <c r="CJ46" s="305">
        <v>1.97</v>
      </c>
      <c r="CK46" s="305">
        <v>1.84</v>
      </c>
      <c r="CL46" s="305">
        <v>1.7</v>
      </c>
      <c r="CM46" s="305">
        <v>1.1719999999999999</v>
      </c>
      <c r="CN46" s="305">
        <v>1.42</v>
      </c>
      <c r="CO46" s="305">
        <v>1.6060000000000001</v>
      </c>
      <c r="CP46" s="305">
        <v>1.597</v>
      </c>
      <c r="CQ46" s="305">
        <v>1.34</v>
      </c>
      <c r="CR46" s="305">
        <v>1.099</v>
      </c>
      <c r="CS46" s="305">
        <v>0.73599999999999999</v>
      </c>
      <c r="CT46" s="305">
        <v>0.85</v>
      </c>
      <c r="CU46" s="305">
        <v>0.85499999999999998</v>
      </c>
      <c r="CV46" s="305">
        <v>0.77100000000000002</v>
      </c>
      <c r="CW46" s="306">
        <v>0.70799999999999996</v>
      </c>
      <c r="CX46" s="306">
        <v>0.46899999999999997</v>
      </c>
      <c r="CY46" s="306">
        <v>0.70799999999999996</v>
      </c>
      <c r="CZ46" s="306">
        <v>0.495</v>
      </c>
      <c r="DA46" s="305">
        <v>0.49399999999999999</v>
      </c>
      <c r="DB46" s="305">
        <v>0.376</v>
      </c>
      <c r="DC46" s="305">
        <v>0.36699999999999999</v>
      </c>
      <c r="DD46" s="305">
        <v>0.314</v>
      </c>
      <c r="DE46" s="305">
        <v>0.38200000000000001</v>
      </c>
      <c r="DF46" s="305">
        <v>0.3</v>
      </c>
      <c r="DG46" s="305">
        <v>-0.16900000000000001</v>
      </c>
      <c r="DH46" s="305">
        <v>-0.6</v>
      </c>
      <c r="DI46" s="305">
        <v>-0.27300000000000002</v>
      </c>
      <c r="DJ46" s="305">
        <v>-8.5000000000000006E-2</v>
      </c>
      <c r="DK46" s="305">
        <v>8.0000000000000002E-3</v>
      </c>
    </row>
    <row r="47" spans="1:115" ht="26.25">
      <c r="B47" s="307" t="s">
        <v>64</v>
      </c>
      <c r="C47" s="308"/>
      <c r="D47" s="309"/>
      <c r="E47" s="309"/>
      <c r="F47" s="309"/>
      <c r="G47" s="309"/>
      <c r="H47" s="309"/>
      <c r="I47" s="309"/>
      <c r="J47" s="309"/>
      <c r="K47" s="309"/>
      <c r="L47" s="309"/>
      <c r="M47" s="309"/>
      <c r="N47" s="310"/>
      <c r="O47" s="310"/>
      <c r="P47" s="310"/>
      <c r="Q47" s="310"/>
      <c r="R47" s="310"/>
      <c r="S47" s="310"/>
      <c r="T47" s="310"/>
      <c r="U47" s="310"/>
      <c r="V47" s="310"/>
      <c r="W47" s="310"/>
      <c r="X47" s="310"/>
      <c r="Y47" s="310"/>
      <c r="Z47" s="310"/>
      <c r="AA47" s="310"/>
      <c r="AB47" s="311"/>
      <c r="AC47" s="311"/>
      <c r="AD47" s="311"/>
      <c r="AE47" s="311"/>
      <c r="AF47" s="311"/>
      <c r="AG47" s="311"/>
      <c r="AH47" s="311"/>
      <c r="AI47" s="311"/>
      <c r="AJ47" s="312"/>
      <c r="AK47" s="312"/>
      <c r="AL47" s="312"/>
      <c r="AM47" s="312"/>
      <c r="AN47" s="313"/>
      <c r="AO47" s="313"/>
      <c r="AP47" s="313"/>
      <c r="AQ47" s="313"/>
      <c r="AR47" s="313"/>
      <c r="AS47" s="313"/>
      <c r="AT47" s="313"/>
      <c r="AU47" s="314"/>
      <c r="AV47" s="314"/>
      <c r="AW47" s="314"/>
      <c r="AX47" s="314"/>
      <c r="AY47" s="314"/>
      <c r="AZ47" s="314"/>
      <c r="BA47" s="314"/>
      <c r="BB47" s="314"/>
      <c r="BC47" s="314"/>
      <c r="BD47" s="314"/>
      <c r="BE47" s="314"/>
      <c r="BF47" s="314"/>
      <c r="BG47" s="314"/>
      <c r="BH47" s="314"/>
      <c r="BI47" s="314"/>
      <c r="BJ47" s="314"/>
      <c r="BK47" s="314"/>
      <c r="BL47" s="314"/>
      <c r="BM47" s="314"/>
      <c r="BN47" s="314"/>
      <c r="BO47" s="314"/>
      <c r="BP47" s="314"/>
      <c r="BQ47" s="314"/>
      <c r="BR47" s="314"/>
      <c r="BS47" s="314"/>
      <c r="BT47" s="314"/>
      <c r="BU47" s="314"/>
      <c r="BV47" s="314"/>
      <c r="BW47" s="314"/>
      <c r="BX47" s="314"/>
      <c r="BY47" s="314"/>
      <c r="BZ47" s="314"/>
      <c r="CA47" s="314"/>
      <c r="CB47" s="314"/>
      <c r="CC47" s="314"/>
      <c r="CD47" s="314"/>
      <c r="CE47" s="314"/>
      <c r="CF47" s="314"/>
      <c r="CG47" s="314"/>
      <c r="CH47" s="314"/>
      <c r="CI47" s="314"/>
      <c r="CJ47" s="314"/>
      <c r="CK47" s="314"/>
      <c r="CL47" s="314"/>
      <c r="CM47" s="314"/>
      <c r="CN47" s="314"/>
      <c r="CO47" s="314"/>
      <c r="CP47" s="314"/>
      <c r="CQ47" s="314"/>
      <c r="CR47" s="314"/>
      <c r="CS47" s="314"/>
    </row>
    <row r="48" spans="1:115" ht="26.25">
      <c r="B48" s="315"/>
      <c r="D48" s="316"/>
      <c r="E48" s="317"/>
      <c r="F48" s="316"/>
      <c r="G48" s="317"/>
      <c r="H48" s="317"/>
      <c r="I48" s="316"/>
      <c r="J48" s="317"/>
      <c r="K48" s="316"/>
      <c r="L48" s="316"/>
      <c r="M48" s="317"/>
      <c r="N48" s="318"/>
      <c r="O48" s="318"/>
      <c r="P48" s="319"/>
      <c r="Q48" s="319"/>
      <c r="R48" s="319"/>
      <c r="S48" s="319"/>
      <c r="T48" s="319"/>
      <c r="U48" s="319"/>
      <c r="V48" s="319"/>
      <c r="W48" s="319"/>
      <c r="X48" s="319"/>
      <c r="Y48" s="319"/>
      <c r="Z48" s="320"/>
      <c r="AA48" s="321"/>
      <c r="AB48" s="321"/>
      <c r="AC48" s="321"/>
      <c r="AD48" s="321"/>
      <c r="AE48" s="321"/>
      <c r="AF48" s="321"/>
      <c r="AG48" s="321"/>
      <c r="AH48" s="321"/>
      <c r="AI48" s="321"/>
      <c r="AJ48" s="322"/>
      <c r="AK48" s="322"/>
      <c r="AL48" s="322"/>
      <c r="AM48" s="322"/>
      <c r="AN48" s="323"/>
      <c r="AO48" s="323"/>
      <c r="AP48" s="323"/>
      <c r="AQ48" s="323"/>
      <c r="AR48" s="323"/>
      <c r="AS48" s="323"/>
      <c r="AT48" s="323"/>
      <c r="AU48" s="314"/>
      <c r="AV48" s="314"/>
      <c r="AW48" s="314"/>
      <c r="AX48" s="314"/>
      <c r="AY48" s="314"/>
      <c r="AZ48" s="314"/>
      <c r="BA48" s="314"/>
      <c r="BB48" s="314"/>
      <c r="BC48" s="314"/>
      <c r="BD48" s="314"/>
      <c r="BE48" s="314"/>
      <c r="BF48" s="314"/>
      <c r="BG48" s="314"/>
      <c r="BH48" s="314"/>
      <c r="BI48" s="314"/>
      <c r="BJ48" s="314"/>
      <c r="BK48" s="314"/>
      <c r="BL48" s="314"/>
      <c r="BM48" s="314"/>
      <c r="BN48" s="314"/>
      <c r="BO48" s="314"/>
      <c r="BP48" s="314"/>
      <c r="BQ48" s="314"/>
      <c r="BR48" s="314"/>
      <c r="BS48" s="314"/>
      <c r="BT48" s="314"/>
      <c r="BU48" s="314"/>
      <c r="BV48" s="314"/>
      <c r="BW48" s="314"/>
      <c r="BX48" s="314"/>
      <c r="BY48" s="314"/>
      <c r="BZ48" s="314"/>
      <c r="CA48" s="314"/>
      <c r="CB48" s="314"/>
      <c r="CC48" s="314"/>
      <c r="CD48" s="314"/>
      <c r="CE48" s="314"/>
      <c r="CF48" s="314"/>
      <c r="CG48" s="314"/>
      <c r="CH48" s="314"/>
      <c r="CI48" s="314"/>
      <c r="CJ48" s="314"/>
      <c r="CK48" s="314"/>
      <c r="CL48" s="314"/>
      <c r="CM48" s="314"/>
      <c r="CN48" s="314"/>
      <c r="CO48" s="314"/>
      <c r="CP48" s="314"/>
      <c r="CQ48" s="314"/>
      <c r="CR48" s="314"/>
      <c r="CS48" s="314"/>
    </row>
    <row r="49" spans="2:46" ht="25.5">
      <c r="B49" s="315"/>
    </row>
    <row r="50" spans="2:46">
      <c r="B50" s="324"/>
      <c r="AH50" s="1" t="s">
        <v>65</v>
      </c>
    </row>
    <row r="51" spans="2:46">
      <c r="B51" s="324"/>
    </row>
    <row r="52" spans="2:46" ht="30">
      <c r="B52" s="325"/>
      <c r="C52" s="326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</row>
    <row r="53" spans="2:46" ht="30">
      <c r="B53" s="325"/>
      <c r="C53" s="326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</row>
    <row r="54" spans="2:46" ht="30">
      <c r="B54" s="325"/>
      <c r="C54" s="326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</row>
    <row r="55" spans="2:46" ht="30">
      <c r="B55" s="325"/>
      <c r="C55" s="326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</row>
    <row r="56" spans="2:46">
      <c r="B56" s="3"/>
      <c r="C56" s="3"/>
    </row>
    <row r="57" spans="2:46">
      <c r="B57" s="3"/>
      <c r="C57" s="3"/>
    </row>
    <row r="58" spans="2:46">
      <c r="B58" s="3"/>
      <c r="C58" s="3"/>
    </row>
    <row r="59" spans="2:46">
      <c r="B59" s="3"/>
      <c r="C59" s="3"/>
    </row>
    <row r="60" spans="2:46" ht="23.25" customHeight="1">
      <c r="B60" s="3"/>
      <c r="C60" s="3"/>
    </row>
    <row r="61" spans="2:46" ht="28.5" customHeight="1">
      <c r="B61" s="3"/>
      <c r="C61" s="3"/>
    </row>
    <row r="62" spans="2:46" ht="24.75" customHeight="1">
      <c r="B62" s="3"/>
      <c r="C62" s="3"/>
    </row>
    <row r="63" spans="2:46">
      <c r="B63" s="3"/>
      <c r="C63" s="3"/>
    </row>
    <row r="64" spans="2:46">
      <c r="B64" s="3"/>
      <c r="C64" s="3"/>
    </row>
    <row r="65" spans="2:3">
      <c r="B65" s="3"/>
      <c r="C65" s="3"/>
    </row>
    <row r="66" spans="2:3">
      <c r="B66" s="3"/>
      <c r="C66" s="3"/>
    </row>
    <row r="67" spans="2:3">
      <c r="B67" s="3"/>
      <c r="C67" s="3"/>
    </row>
    <row r="68" spans="2:3">
      <c r="B68" s="3"/>
      <c r="C68" s="3"/>
    </row>
    <row r="69" spans="2:3">
      <c r="B69" s="3"/>
      <c r="C69" s="3"/>
    </row>
    <row r="70" spans="2:3">
      <c r="B70" s="3"/>
      <c r="C70" s="3"/>
    </row>
    <row r="71" spans="2:3">
      <c r="B71" s="3"/>
      <c r="C71" s="3"/>
    </row>
    <row r="72" spans="2:3">
      <c r="B72" s="3"/>
      <c r="C72" s="3"/>
    </row>
    <row r="73" spans="2:3">
      <c r="B73" s="3"/>
      <c r="C73" s="3"/>
    </row>
    <row r="74" spans="2:3">
      <c r="B74" s="3"/>
      <c r="C74" s="3"/>
    </row>
    <row r="75" spans="2:3">
      <c r="B75" s="3"/>
      <c r="C75" s="3"/>
    </row>
    <row r="76" spans="2:3">
      <c r="B76" s="3"/>
      <c r="C76" s="3"/>
    </row>
    <row r="95" spans="2:19" ht="30">
      <c r="B95" s="8"/>
      <c r="C95" s="9"/>
      <c r="D95" s="9"/>
      <c r="E95" s="9"/>
      <c r="F95" s="9"/>
      <c r="G95" s="9"/>
      <c r="H95" s="9"/>
      <c r="I95" s="9"/>
      <c r="K95" s="9"/>
      <c r="L95" s="9"/>
      <c r="M95" s="9"/>
      <c r="N95" s="9"/>
      <c r="O95" s="9"/>
      <c r="P95" s="9"/>
      <c r="Q95" s="9"/>
      <c r="R95" s="9"/>
      <c r="S95" s="9"/>
    </row>
    <row r="96" spans="2:19" ht="30">
      <c r="B96" s="8"/>
      <c r="C96" s="9"/>
      <c r="D96" s="9"/>
      <c r="E96" s="9"/>
      <c r="F96" s="9"/>
      <c r="G96" s="9"/>
      <c r="H96" s="9"/>
      <c r="I96" s="9"/>
      <c r="K96" s="9"/>
      <c r="L96" s="9"/>
      <c r="M96" s="9"/>
      <c r="N96" s="9"/>
      <c r="O96" s="9"/>
      <c r="P96" s="9"/>
      <c r="Q96" s="9"/>
      <c r="R96" s="9"/>
      <c r="S96" s="9"/>
    </row>
    <row r="97" spans="2:19" ht="30">
      <c r="B97" s="8"/>
      <c r="C97" s="9"/>
      <c r="D97" s="9"/>
      <c r="E97" s="9"/>
      <c r="F97" s="9"/>
      <c r="G97" s="9"/>
      <c r="H97" s="9"/>
      <c r="I97" s="9"/>
      <c r="K97" s="9"/>
      <c r="L97" s="9"/>
      <c r="M97" s="9"/>
      <c r="N97" s="9"/>
      <c r="O97" s="9"/>
      <c r="P97" s="9"/>
      <c r="Q97" s="9"/>
      <c r="R97" s="9"/>
      <c r="S97" s="9"/>
    </row>
    <row r="98" spans="2:19" ht="30">
      <c r="B98" s="8"/>
      <c r="C98" s="9"/>
      <c r="D98" s="9"/>
      <c r="E98" s="9"/>
      <c r="F98" s="9"/>
      <c r="G98" s="9"/>
      <c r="H98" s="9"/>
      <c r="I98" s="9"/>
      <c r="K98" s="9"/>
      <c r="L98" s="9"/>
      <c r="M98" s="9"/>
      <c r="N98" s="9"/>
      <c r="O98" s="9"/>
      <c r="P98" s="9"/>
      <c r="Q98" s="9"/>
      <c r="R98" s="9"/>
      <c r="S98" s="9"/>
    </row>
    <row r="99" spans="2:19" ht="30">
      <c r="B99" s="8"/>
      <c r="C99" s="9"/>
      <c r="D99" s="9"/>
      <c r="E99" s="9"/>
      <c r="F99" s="9"/>
      <c r="G99" s="9"/>
      <c r="H99" s="9"/>
      <c r="I99" s="9"/>
      <c r="K99" s="9"/>
      <c r="L99" s="9"/>
      <c r="M99" s="9"/>
      <c r="N99" s="9"/>
      <c r="O99" s="9"/>
      <c r="P99" s="9"/>
      <c r="Q99" s="9"/>
      <c r="R99" s="9"/>
      <c r="S99" s="9"/>
    </row>
    <row r="100" spans="2:19" ht="30">
      <c r="B100" s="8"/>
      <c r="C100" s="9"/>
      <c r="D100" s="9"/>
      <c r="E100" s="9"/>
      <c r="F100" s="9"/>
      <c r="G100" s="9"/>
      <c r="H100" s="9"/>
      <c r="I100" s="9"/>
      <c r="K100" s="9"/>
      <c r="L100" s="9"/>
      <c r="M100" s="9"/>
      <c r="N100" s="9"/>
      <c r="O100" s="9"/>
      <c r="P100" s="9"/>
      <c r="Q100" s="9"/>
      <c r="R100" s="9"/>
      <c r="S100" s="9"/>
    </row>
    <row r="101" spans="2:19" ht="30">
      <c r="B101" s="8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</row>
    <row r="102" spans="2:19" ht="30">
      <c r="J102" s="9"/>
    </row>
    <row r="117" spans="3:3">
      <c r="C117" s="1" t="s">
        <v>66</v>
      </c>
    </row>
  </sheetData>
  <mergeCells count="10">
    <mergeCell ref="BX12:CI12"/>
    <mergeCell ref="CJ12:CU12"/>
    <mergeCell ref="CV12:DG12"/>
    <mergeCell ref="DH12:DK12"/>
    <mergeCell ref="D12:O12"/>
    <mergeCell ref="P12:AA12"/>
    <mergeCell ref="AB12:AM12"/>
    <mergeCell ref="AN12:AY12"/>
    <mergeCell ref="AZ12:BK12"/>
    <mergeCell ref="BL12:BW12"/>
  </mergeCells>
  <printOptions horizontalCentered="1"/>
  <pageMargins left="0.78740157480314965" right="0" top="0.98425196850393704" bottom="0.98425196850393704" header="0.51181102362204722" footer="0.51181102362204722"/>
  <pageSetup paperSize="9" scale="10" orientation="portrait" verticalDpi="300" r:id="rId1"/>
  <headerFooter alignWithMargins="0">
    <oddFooter>&amp;C&amp;"Arial,Gras"&amp;18 &amp;24 &amp;48 &amp;28 3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V124"/>
  <sheetViews>
    <sheetView view="pageBreakPreview" topLeftCell="B1" zoomScale="20" zoomScaleNormal="30" zoomScaleSheetLayoutView="20" workbookViewId="0">
      <selection activeCell="K54" sqref="K54"/>
    </sheetView>
  </sheetViews>
  <sheetFormatPr baseColWidth="10" defaultColWidth="10.28515625" defaultRowHeight="18.75"/>
  <cols>
    <col min="1" max="1" width="0" style="327" hidden="1" customWidth="1"/>
    <col min="2" max="2" width="146.42578125" style="327" customWidth="1"/>
    <col min="3" max="26" width="35.85546875" style="329" customWidth="1"/>
    <col min="27" max="27" width="46" style="329" customWidth="1"/>
    <col min="28" max="34" width="35.85546875" style="329" customWidth="1"/>
    <col min="35" max="35" width="45.85546875" style="329" customWidth="1"/>
    <col min="36" max="36" width="35.85546875" style="329" customWidth="1"/>
    <col min="37" max="37" width="44.42578125" style="329" customWidth="1"/>
    <col min="38" max="38" width="43.28515625" style="329" customWidth="1"/>
    <col min="39" max="44" width="35.85546875" style="329" customWidth="1"/>
    <col min="45" max="46" width="39.42578125" style="329" customWidth="1"/>
    <col min="47" max="47" width="45.85546875" style="329" customWidth="1"/>
    <col min="48" max="48" width="39.42578125" style="329" customWidth="1"/>
    <col min="49" max="49" width="44.42578125" style="329" customWidth="1"/>
    <col min="50" max="50" width="43.28515625" style="329" customWidth="1"/>
    <col min="51" max="51" width="46" style="329" customWidth="1"/>
    <col min="52" max="57" width="39.42578125" style="329" customWidth="1"/>
    <col min="58" max="63" width="48.140625" style="329" customWidth="1"/>
    <col min="64" max="64" width="36.7109375" style="329" customWidth="1"/>
    <col min="65" max="65" width="37.28515625" style="329" customWidth="1"/>
    <col min="66" max="67" width="48.140625" style="329" customWidth="1"/>
    <col min="68" max="69" width="36.7109375" style="329" customWidth="1"/>
    <col min="70" max="74" width="48.140625" style="329" customWidth="1"/>
    <col min="75" max="75" width="56.5703125" style="329" customWidth="1"/>
    <col min="76" max="77" width="48.140625" style="329" customWidth="1"/>
    <col min="78" max="78" width="55.28515625" style="329" customWidth="1"/>
    <col min="79" max="111" width="48.140625" style="329" customWidth="1"/>
    <col min="112" max="112" width="48.140625" style="329" hidden="1" customWidth="1"/>
    <col min="113" max="114" width="48.140625" style="329" customWidth="1"/>
    <col min="115" max="115" width="54" style="327" customWidth="1"/>
    <col min="116" max="116" width="61" style="327" customWidth="1"/>
    <col min="117" max="117" width="51" style="327" customWidth="1"/>
    <col min="118" max="118" width="22.42578125" style="328" customWidth="1"/>
    <col min="119" max="119" width="48.5703125" style="327" customWidth="1"/>
    <col min="120" max="120" width="18.28515625" style="327" hidden="1" customWidth="1"/>
    <col min="121" max="121" width="10.28515625" style="327" hidden="1" customWidth="1"/>
    <col min="122" max="122" width="27.42578125" style="327" hidden="1" customWidth="1"/>
    <col min="123" max="161" width="0" style="327" hidden="1" customWidth="1"/>
    <col min="162" max="162" width="59.85546875" style="327" customWidth="1"/>
    <col min="163" max="171" width="0" style="327" hidden="1" customWidth="1"/>
    <col min="172" max="172" width="57.42578125" style="327" customWidth="1"/>
    <col min="173" max="173" width="67" style="327" customWidth="1"/>
    <col min="174" max="174" width="53.5703125" style="327" customWidth="1"/>
    <col min="175" max="175" width="57.7109375" style="327" customWidth="1"/>
    <col min="176" max="176" width="54.7109375" style="327" customWidth="1"/>
    <col min="177" max="177" width="55.7109375" style="327" customWidth="1"/>
    <col min="178" max="178" width="32.7109375" style="327" customWidth="1"/>
    <col min="179" max="16384" width="10.28515625" style="327"/>
  </cols>
  <sheetData>
    <row r="2" spans="2:178" ht="45" customHeight="1"/>
    <row r="3" spans="2:178" ht="45" customHeight="1">
      <c r="AN3" s="791"/>
      <c r="AO3" s="791"/>
      <c r="AP3" s="791"/>
      <c r="AQ3" s="791"/>
      <c r="AR3" s="791"/>
      <c r="AS3" s="791"/>
      <c r="AT3" s="791"/>
      <c r="AU3" s="791"/>
      <c r="AV3" s="791"/>
      <c r="AW3" s="791"/>
      <c r="AX3" s="791"/>
      <c r="AY3" s="791"/>
      <c r="AZ3" s="791"/>
      <c r="BA3" s="791"/>
      <c r="BB3" s="791"/>
      <c r="BC3" s="791"/>
      <c r="BD3" s="791"/>
      <c r="BE3" s="791"/>
      <c r="BF3" s="791"/>
      <c r="BG3" s="791"/>
      <c r="BH3" s="791"/>
      <c r="BI3" s="791"/>
      <c r="BJ3" s="791"/>
      <c r="BK3" s="791"/>
      <c r="BL3" s="791"/>
      <c r="BM3" s="791"/>
      <c r="BN3" s="791"/>
      <c r="BO3" s="791"/>
      <c r="BP3" s="791"/>
      <c r="BQ3" s="791"/>
      <c r="BR3" s="791"/>
      <c r="BS3" s="791"/>
      <c r="BT3" s="791"/>
      <c r="BU3" s="791"/>
      <c r="BV3" s="791"/>
      <c r="BW3" s="791"/>
      <c r="BX3" s="791"/>
      <c r="BY3" s="791"/>
      <c r="BZ3" s="791"/>
      <c r="CA3" s="791"/>
      <c r="CB3" s="791"/>
      <c r="CC3" s="791"/>
      <c r="CD3" s="791"/>
      <c r="CE3" s="791"/>
      <c r="CF3" s="791"/>
      <c r="CG3" s="791"/>
      <c r="CH3" s="791"/>
      <c r="CI3" s="791"/>
      <c r="CJ3" s="791"/>
      <c r="CK3" s="791"/>
      <c r="CL3" s="791"/>
      <c r="CM3" s="791"/>
      <c r="CN3" s="791"/>
      <c r="CO3" s="791"/>
      <c r="CP3" s="791"/>
      <c r="CQ3" s="791"/>
      <c r="CR3" s="791"/>
      <c r="CS3" s="791"/>
      <c r="CT3" s="791"/>
      <c r="CU3" s="791"/>
      <c r="CV3" s="791"/>
      <c r="CW3" s="791"/>
      <c r="CX3" s="791"/>
      <c r="CY3" s="791"/>
      <c r="CZ3" s="791"/>
      <c r="DA3" s="791"/>
      <c r="DB3" s="791"/>
      <c r="DC3" s="791"/>
      <c r="DD3" s="791"/>
      <c r="DE3" s="791"/>
      <c r="DF3" s="791"/>
      <c r="DG3" s="791"/>
      <c r="DH3" s="791"/>
      <c r="DI3" s="791"/>
      <c r="DJ3" s="791"/>
    </row>
    <row r="4" spans="2:178" ht="86.25" customHeight="1">
      <c r="C4" s="791"/>
      <c r="D4" s="791"/>
      <c r="E4" s="791"/>
      <c r="F4" s="791"/>
      <c r="G4" s="791"/>
      <c r="H4" s="791"/>
      <c r="I4" s="791"/>
      <c r="J4" s="791"/>
      <c r="K4" s="791"/>
      <c r="L4" s="791"/>
      <c r="M4" s="791"/>
      <c r="N4" s="791"/>
      <c r="O4" s="791"/>
      <c r="P4" s="791"/>
      <c r="Q4" s="791"/>
      <c r="R4" s="791"/>
      <c r="S4" s="791"/>
      <c r="T4" s="791"/>
      <c r="U4" s="791"/>
      <c r="V4" s="791"/>
      <c r="W4" s="791"/>
      <c r="X4" s="791"/>
      <c r="Y4" s="791"/>
      <c r="Z4" s="791"/>
      <c r="AA4" s="791"/>
      <c r="AB4" s="791"/>
      <c r="AC4" s="791"/>
      <c r="AD4" s="791"/>
      <c r="AE4" s="791"/>
      <c r="AF4" s="791"/>
      <c r="AG4" s="791"/>
      <c r="AH4" s="791"/>
      <c r="AI4" s="791"/>
      <c r="AJ4" s="791"/>
      <c r="AK4" s="791"/>
      <c r="AL4" s="791"/>
      <c r="AM4" s="791"/>
      <c r="AN4" s="791"/>
      <c r="AO4" s="791"/>
      <c r="AP4" s="791"/>
      <c r="AQ4" s="791"/>
      <c r="AR4" s="791"/>
      <c r="AS4" s="791"/>
      <c r="AT4" s="791"/>
      <c r="AU4" s="791"/>
      <c r="AV4" s="791"/>
      <c r="AW4" s="791"/>
      <c r="AX4" s="791"/>
      <c r="AY4" s="791"/>
      <c r="AZ4" s="791"/>
      <c r="BA4" s="791"/>
      <c r="BB4" s="791"/>
      <c r="BC4" s="791"/>
      <c r="BD4" s="791"/>
      <c r="BE4" s="791"/>
      <c r="BF4" s="791"/>
      <c r="BG4" s="791"/>
      <c r="BH4" s="791"/>
      <c r="BI4" s="791"/>
      <c r="BJ4" s="791"/>
      <c r="BK4" s="791"/>
      <c r="BL4" s="791"/>
      <c r="BM4" s="791"/>
      <c r="BN4" s="791"/>
      <c r="BO4" s="791"/>
      <c r="BP4" s="791"/>
      <c r="BQ4" s="791"/>
      <c r="BR4" s="791"/>
      <c r="BS4" s="791"/>
      <c r="BT4" s="791"/>
      <c r="BU4" s="791"/>
      <c r="BV4" s="791"/>
      <c r="BW4" s="791"/>
      <c r="BX4" s="791"/>
      <c r="BY4" s="791"/>
      <c r="BZ4" s="791"/>
      <c r="CA4" s="791"/>
      <c r="CB4" s="791"/>
      <c r="CC4" s="791"/>
      <c r="CD4" s="791"/>
      <c r="CE4" s="791"/>
      <c r="CF4" s="791"/>
      <c r="CG4" s="791"/>
      <c r="CH4" s="791"/>
      <c r="CI4" s="791"/>
      <c r="CJ4" s="791"/>
      <c r="CK4" s="791"/>
      <c r="CL4" s="791"/>
      <c r="CM4" s="791"/>
      <c r="CN4" s="791"/>
      <c r="CO4" s="791"/>
      <c r="CP4" s="791"/>
      <c r="CQ4" s="791"/>
      <c r="CR4" s="791"/>
      <c r="CS4" s="791"/>
      <c r="CT4" s="791"/>
      <c r="CU4" s="791"/>
      <c r="CV4" s="791"/>
      <c r="CW4" s="791"/>
      <c r="CX4" s="791"/>
      <c r="CY4" s="791"/>
      <c r="CZ4" s="791"/>
      <c r="DA4" s="791"/>
      <c r="DB4" s="791"/>
      <c r="DC4" s="791"/>
      <c r="DD4" s="791"/>
      <c r="DE4" s="791"/>
      <c r="DF4" s="791"/>
      <c r="DG4" s="791"/>
      <c r="DH4" s="791"/>
      <c r="DI4" s="791"/>
      <c r="DJ4" s="791"/>
      <c r="FF4" s="796"/>
    </row>
    <row r="5" spans="2:178" ht="71.25" customHeight="1">
      <c r="C5" s="791"/>
      <c r="D5" s="791"/>
      <c r="E5" s="791"/>
      <c r="F5" s="791"/>
      <c r="G5" s="791"/>
      <c r="H5" s="791"/>
      <c r="I5" s="791"/>
      <c r="J5" s="791"/>
      <c r="K5" s="791"/>
      <c r="L5" s="791"/>
      <c r="M5" s="791"/>
      <c r="N5" s="791"/>
      <c r="O5" s="791"/>
      <c r="P5" s="791"/>
      <c r="Q5" s="791"/>
      <c r="R5" s="791"/>
      <c r="S5" s="791"/>
      <c r="T5" s="791"/>
      <c r="U5" s="791"/>
      <c r="V5" s="791"/>
      <c r="W5" s="791"/>
      <c r="X5" s="791"/>
      <c r="Y5" s="791"/>
      <c r="Z5" s="791"/>
      <c r="AA5" s="791"/>
      <c r="AB5" s="791"/>
      <c r="AC5" s="791"/>
      <c r="AD5" s="791"/>
      <c r="AE5" s="791"/>
      <c r="AF5" s="791"/>
      <c r="AG5" s="791"/>
      <c r="AH5" s="791"/>
      <c r="AI5" s="791"/>
      <c r="AJ5" s="791"/>
      <c r="AK5" s="791"/>
      <c r="AL5" s="791"/>
      <c r="AM5" s="791"/>
      <c r="AN5" s="791"/>
      <c r="AO5" s="791"/>
      <c r="AP5" s="791"/>
      <c r="AQ5" s="791"/>
      <c r="AR5" s="791"/>
      <c r="AS5" s="791"/>
      <c r="AT5" s="791"/>
      <c r="AU5" s="791"/>
      <c r="AV5" s="791"/>
      <c r="AW5" s="791"/>
      <c r="AX5" s="791"/>
      <c r="AY5" s="791"/>
      <c r="AZ5" s="791"/>
      <c r="BA5" s="791"/>
      <c r="BB5" s="791"/>
      <c r="BC5" s="791"/>
      <c r="BD5" s="791"/>
      <c r="BE5" s="791"/>
      <c r="BF5" s="791"/>
      <c r="BG5" s="791"/>
      <c r="BH5" s="791"/>
      <c r="BI5" s="791"/>
      <c r="BJ5" s="791"/>
      <c r="BK5" s="791"/>
      <c r="BL5" s="791"/>
      <c r="BM5" s="791"/>
      <c r="BN5" s="791"/>
      <c r="BO5" s="791"/>
      <c r="BP5" s="791"/>
      <c r="BQ5" s="791"/>
      <c r="BR5" s="791"/>
      <c r="BS5" s="791"/>
      <c r="BT5" s="791"/>
      <c r="BU5" s="791"/>
      <c r="BV5" s="791"/>
      <c r="BW5" s="791"/>
      <c r="BX5" s="791"/>
      <c r="BY5" s="791"/>
      <c r="BZ5" s="791"/>
      <c r="CA5" s="791"/>
      <c r="CB5" s="791"/>
      <c r="CC5" s="791"/>
      <c r="CD5" s="791"/>
      <c r="CE5" s="791"/>
      <c r="CF5" s="791"/>
      <c r="CG5" s="791"/>
      <c r="CH5" s="791"/>
      <c r="CI5" s="791"/>
      <c r="CJ5" s="791"/>
      <c r="CK5" s="791"/>
      <c r="CL5" s="791"/>
      <c r="CM5" s="791"/>
      <c r="CN5" s="791"/>
      <c r="CO5" s="791"/>
      <c r="CP5" s="791"/>
      <c r="CQ5" s="791"/>
      <c r="CR5" s="791"/>
      <c r="CS5" s="791"/>
      <c r="CT5" s="791"/>
      <c r="CU5" s="791"/>
      <c r="CV5" s="791"/>
      <c r="CW5" s="791"/>
      <c r="CX5" s="791"/>
      <c r="CY5" s="791"/>
      <c r="CZ5" s="791"/>
      <c r="DA5" s="791"/>
      <c r="DB5" s="791"/>
      <c r="DC5" s="791"/>
      <c r="DD5" s="791"/>
      <c r="DE5" s="791"/>
      <c r="DF5" s="791"/>
      <c r="DG5" s="791"/>
      <c r="DH5" s="791"/>
      <c r="DI5" s="791"/>
      <c r="DJ5" s="791"/>
    </row>
    <row r="6" spans="2:178" ht="86.25" customHeight="1">
      <c r="C6" s="791"/>
      <c r="D6" s="791"/>
      <c r="E6" s="791"/>
      <c r="F6" s="791"/>
      <c r="G6" s="791"/>
      <c r="H6" s="791"/>
      <c r="I6" s="791"/>
      <c r="J6" s="791"/>
      <c r="K6" s="791"/>
      <c r="L6" s="791"/>
      <c r="M6" s="791"/>
      <c r="N6" s="791"/>
      <c r="O6" s="791"/>
      <c r="P6" s="791"/>
      <c r="Q6" s="791"/>
      <c r="R6" s="791"/>
      <c r="S6" s="791"/>
      <c r="T6" s="791"/>
      <c r="U6" s="791"/>
      <c r="V6" s="791"/>
      <c r="W6" s="791"/>
      <c r="X6" s="791"/>
      <c r="Y6" s="791"/>
      <c r="Z6" s="791"/>
      <c r="AA6" s="791"/>
      <c r="AB6" s="791"/>
      <c r="AC6" s="791"/>
      <c r="AD6" s="791"/>
      <c r="AE6" s="791"/>
      <c r="AF6" s="791"/>
      <c r="AG6" s="791"/>
      <c r="AH6" s="791"/>
      <c r="AI6" s="791"/>
      <c r="AJ6" s="791"/>
      <c r="AK6" s="791"/>
      <c r="AL6" s="791"/>
      <c r="AM6" s="791"/>
      <c r="AN6" s="791"/>
      <c r="AO6" s="791"/>
      <c r="AP6" s="791"/>
      <c r="AQ6" s="791"/>
      <c r="AR6" s="791"/>
      <c r="AS6" s="791"/>
      <c r="AT6" s="791"/>
      <c r="AU6" s="791"/>
      <c r="AV6" s="791"/>
      <c r="AW6" s="791"/>
      <c r="AX6" s="791"/>
      <c r="AY6" s="791"/>
      <c r="AZ6" s="791"/>
      <c r="BA6" s="791"/>
      <c r="BB6" s="791"/>
      <c r="BC6" s="791"/>
      <c r="BD6" s="791"/>
      <c r="BE6" s="791"/>
      <c r="BF6" s="791"/>
      <c r="BG6" s="791"/>
      <c r="BH6" s="791"/>
      <c r="BI6" s="791"/>
      <c r="BJ6" s="791"/>
      <c r="BK6" s="791"/>
      <c r="BL6" s="791"/>
      <c r="BM6" s="791"/>
      <c r="BN6" s="791"/>
      <c r="BO6" s="791"/>
      <c r="BP6" s="791"/>
      <c r="BQ6" s="791"/>
      <c r="BR6" s="791"/>
      <c r="BS6" s="791"/>
      <c r="BT6" s="791"/>
      <c r="BU6" s="791"/>
      <c r="BV6" s="791"/>
      <c r="BW6" s="791"/>
      <c r="BX6" s="791"/>
      <c r="BY6" s="791"/>
      <c r="BZ6" s="791"/>
      <c r="CA6" s="791"/>
      <c r="CB6" s="791"/>
      <c r="CC6" s="791"/>
      <c r="CD6" s="791"/>
      <c r="CE6" s="791"/>
      <c r="CF6" s="791"/>
      <c r="CG6" s="791"/>
      <c r="CH6" s="791"/>
      <c r="CI6" s="791"/>
      <c r="CJ6" s="791"/>
      <c r="CK6" s="791"/>
      <c r="CL6" s="791"/>
      <c r="CM6" s="791"/>
      <c r="CN6" s="791"/>
      <c r="CO6" s="791"/>
      <c r="CP6" s="791"/>
      <c r="CQ6" s="791"/>
      <c r="CR6" s="791"/>
      <c r="CS6" s="791"/>
      <c r="CT6" s="791"/>
      <c r="CU6" s="791"/>
      <c r="CV6" s="791"/>
      <c r="CW6" s="791"/>
      <c r="CX6" s="791"/>
      <c r="CY6" s="791"/>
      <c r="CZ6" s="791"/>
      <c r="DA6" s="791"/>
      <c r="DB6" s="791"/>
      <c r="DC6" s="791"/>
      <c r="DD6" s="791"/>
      <c r="DE6" s="791"/>
      <c r="DF6" s="791"/>
      <c r="DG6" s="791"/>
      <c r="DH6" s="791"/>
      <c r="DI6" s="791"/>
      <c r="DJ6" s="791"/>
    </row>
    <row r="7" spans="2:178" ht="86.25" customHeight="1">
      <c r="C7" s="791"/>
      <c r="D7" s="791"/>
      <c r="E7" s="791"/>
      <c r="F7" s="791"/>
      <c r="G7" s="791"/>
      <c r="H7" s="791"/>
      <c r="I7" s="791"/>
      <c r="J7" s="791"/>
      <c r="K7" s="791"/>
      <c r="L7" s="791"/>
      <c r="M7" s="791"/>
      <c r="N7" s="791"/>
      <c r="O7" s="791"/>
      <c r="P7" s="791"/>
      <c r="Q7" s="791"/>
      <c r="R7" s="791"/>
      <c r="S7" s="791"/>
      <c r="T7" s="791"/>
      <c r="U7" s="791"/>
      <c r="V7" s="791"/>
      <c r="W7" s="791"/>
      <c r="X7" s="791"/>
      <c r="Y7" s="791"/>
      <c r="Z7" s="791"/>
      <c r="AA7" s="791"/>
      <c r="AB7" s="791"/>
      <c r="AC7" s="791"/>
      <c r="AD7" s="791"/>
      <c r="AE7" s="791"/>
      <c r="AF7" s="791"/>
      <c r="AG7" s="791"/>
      <c r="AH7" s="791"/>
      <c r="AI7" s="791"/>
      <c r="AJ7" s="791"/>
      <c r="AK7" s="791"/>
      <c r="AL7" s="791"/>
      <c r="AM7" s="791"/>
      <c r="AN7" s="791"/>
      <c r="AO7" s="791"/>
      <c r="AP7" s="791"/>
      <c r="AQ7" s="791"/>
      <c r="AR7" s="791"/>
      <c r="AS7" s="791"/>
      <c r="AT7" s="791"/>
      <c r="AU7" s="791"/>
      <c r="AV7" s="791"/>
      <c r="AW7" s="791"/>
      <c r="AX7" s="791"/>
      <c r="AY7" s="791"/>
      <c r="AZ7" s="791"/>
      <c r="BA7" s="791"/>
      <c r="BB7" s="791"/>
      <c r="BC7" s="791"/>
      <c r="BD7" s="791"/>
      <c r="BE7" s="791"/>
      <c r="BF7" s="791"/>
      <c r="BG7" s="791"/>
      <c r="BH7" s="791"/>
      <c r="BI7" s="791"/>
      <c r="BJ7" s="791"/>
      <c r="BK7" s="791"/>
      <c r="BL7" s="791"/>
      <c r="BM7" s="791"/>
      <c r="BN7" s="791"/>
      <c r="BO7" s="791"/>
      <c r="BP7" s="791"/>
      <c r="BQ7" s="791"/>
      <c r="BR7" s="791"/>
      <c r="BS7" s="791"/>
      <c r="BT7" s="791"/>
      <c r="BU7" s="791"/>
      <c r="BV7" s="791"/>
      <c r="BW7" s="791"/>
      <c r="BX7" s="791"/>
      <c r="BY7" s="791"/>
      <c r="BZ7" s="791"/>
      <c r="CA7" s="791"/>
      <c r="CB7" s="791"/>
      <c r="CC7" s="791"/>
      <c r="CD7" s="791"/>
      <c r="CE7" s="791"/>
      <c r="CF7" s="791"/>
      <c r="CG7" s="791"/>
      <c r="CH7" s="791"/>
      <c r="CI7" s="791"/>
      <c r="CJ7" s="791"/>
      <c r="CK7" s="791"/>
      <c r="CL7" s="791"/>
      <c r="CM7" s="791"/>
      <c r="CN7" s="791"/>
      <c r="CO7" s="791"/>
      <c r="CP7" s="791"/>
      <c r="CQ7" s="791"/>
      <c r="CR7" s="791"/>
      <c r="CS7" s="791"/>
      <c r="CT7" s="791"/>
      <c r="CU7" s="791"/>
      <c r="CV7" s="791"/>
      <c r="CW7" s="791"/>
      <c r="CX7" s="791"/>
      <c r="CY7" s="791"/>
      <c r="CZ7" s="791"/>
      <c r="DA7" s="791"/>
      <c r="DB7" s="791"/>
      <c r="DC7" s="791"/>
      <c r="DD7" s="791"/>
      <c r="DE7" s="791"/>
      <c r="DF7" s="791"/>
      <c r="DG7" s="791"/>
      <c r="DH7" s="791"/>
      <c r="DI7" s="791"/>
      <c r="DJ7" s="791"/>
      <c r="FR7" s="795"/>
    </row>
    <row r="8" spans="2:178" ht="86.25" customHeight="1">
      <c r="C8" s="791"/>
      <c r="D8" s="791"/>
      <c r="E8" s="791"/>
      <c r="F8" s="791"/>
      <c r="G8" s="791"/>
      <c r="H8" s="791"/>
      <c r="I8" s="791"/>
      <c r="J8" s="791"/>
      <c r="K8" s="791"/>
      <c r="L8" s="791"/>
      <c r="M8" s="791"/>
      <c r="N8" s="791"/>
      <c r="O8" s="791"/>
      <c r="P8" s="791"/>
      <c r="Q8" s="791"/>
      <c r="R8" s="791"/>
      <c r="S8" s="791"/>
      <c r="T8" s="791"/>
      <c r="U8" s="791"/>
      <c r="V8" s="791"/>
      <c r="W8" s="791"/>
      <c r="X8" s="791"/>
      <c r="Y8" s="791"/>
      <c r="Z8" s="791"/>
      <c r="AA8" s="791"/>
      <c r="AB8" s="791"/>
      <c r="AC8" s="791"/>
      <c r="AD8" s="791"/>
      <c r="AE8" s="791"/>
      <c r="AF8" s="791"/>
      <c r="AG8" s="791"/>
      <c r="AH8" s="791"/>
      <c r="AI8" s="791"/>
      <c r="AJ8" s="791"/>
      <c r="AK8" s="791"/>
      <c r="AL8" s="791"/>
      <c r="AM8" s="791"/>
      <c r="AN8" s="791"/>
      <c r="AO8" s="791"/>
      <c r="AP8" s="791"/>
      <c r="AQ8" s="791"/>
      <c r="AR8" s="791"/>
      <c r="AS8" s="791"/>
      <c r="AT8" s="791"/>
      <c r="AU8" s="791"/>
      <c r="AV8" s="791"/>
      <c r="AW8" s="791"/>
      <c r="AX8" s="791"/>
      <c r="AY8" s="791"/>
      <c r="AZ8" s="791"/>
      <c r="BA8" s="791"/>
      <c r="BB8" s="791"/>
      <c r="BC8" s="791"/>
      <c r="BD8" s="791"/>
      <c r="BE8" s="791"/>
      <c r="BF8" s="791"/>
      <c r="BG8" s="791"/>
      <c r="BH8" s="791"/>
      <c r="BI8" s="791"/>
      <c r="BJ8" s="791"/>
      <c r="BK8" s="791"/>
      <c r="BL8" s="791"/>
      <c r="BM8" s="791"/>
      <c r="BN8" s="791"/>
      <c r="BO8" s="791"/>
      <c r="BP8" s="791"/>
      <c r="BQ8" s="791"/>
      <c r="BR8" s="791"/>
      <c r="BS8" s="791"/>
      <c r="BT8" s="791"/>
      <c r="BU8" s="791"/>
      <c r="BV8" s="791"/>
      <c r="BW8" s="791"/>
      <c r="BX8" s="791"/>
      <c r="BY8" s="791"/>
      <c r="BZ8" s="791"/>
      <c r="CA8" s="791"/>
      <c r="CB8" s="791"/>
      <c r="CC8" s="791"/>
      <c r="CD8" s="791"/>
      <c r="CE8" s="791"/>
      <c r="CF8" s="791"/>
      <c r="CG8" s="791"/>
      <c r="CH8" s="791"/>
      <c r="CI8" s="791"/>
      <c r="CJ8" s="791"/>
      <c r="CK8" s="791"/>
      <c r="CL8" s="791"/>
      <c r="CM8" s="791"/>
      <c r="CN8" s="791"/>
      <c r="CO8" s="791"/>
      <c r="CP8" s="791"/>
      <c r="CQ8" s="791"/>
      <c r="CR8" s="791"/>
      <c r="CS8" s="791"/>
      <c r="CT8" s="791"/>
      <c r="CU8" s="791"/>
      <c r="CV8" s="791"/>
      <c r="CW8" s="791"/>
      <c r="CX8" s="791"/>
      <c r="CY8" s="791"/>
      <c r="CZ8" s="791"/>
      <c r="DA8" s="791"/>
      <c r="DB8" s="791"/>
      <c r="DC8" s="791"/>
      <c r="DD8" s="791"/>
      <c r="DE8" s="791"/>
      <c r="DF8" s="791"/>
      <c r="DG8" s="791"/>
      <c r="DH8" s="791"/>
      <c r="DI8" s="791"/>
      <c r="DJ8" s="791"/>
    </row>
    <row r="9" spans="2:178" ht="82.5" customHeight="1">
      <c r="C9" s="791"/>
      <c r="D9" s="791"/>
      <c r="E9" s="791"/>
      <c r="F9" s="791"/>
      <c r="G9" s="791"/>
      <c r="H9" s="791"/>
      <c r="I9" s="791"/>
      <c r="J9" s="791"/>
      <c r="K9" s="791"/>
      <c r="L9" s="791"/>
      <c r="M9" s="791"/>
      <c r="N9" s="791"/>
      <c r="O9" s="791"/>
      <c r="P9" s="791"/>
      <c r="Q9" s="791"/>
      <c r="R9" s="791"/>
      <c r="S9" s="791"/>
      <c r="T9" s="791"/>
      <c r="U9" s="791"/>
      <c r="V9" s="791"/>
      <c r="W9" s="791"/>
      <c r="X9" s="791"/>
      <c r="Y9" s="791"/>
      <c r="Z9" s="791"/>
      <c r="AA9" s="791"/>
      <c r="AB9" s="791"/>
      <c r="AC9" s="791"/>
      <c r="AD9" s="791"/>
      <c r="AE9" s="791"/>
      <c r="AF9" s="791"/>
      <c r="AG9" s="791"/>
      <c r="AH9" s="791"/>
      <c r="AI9" s="791"/>
      <c r="AJ9" s="791"/>
      <c r="AK9" s="791"/>
      <c r="AL9" s="791"/>
      <c r="AM9" s="791"/>
      <c r="AN9" s="791"/>
      <c r="AO9" s="791"/>
      <c r="AP9" s="791"/>
      <c r="AQ9" s="791"/>
      <c r="AR9" s="791"/>
      <c r="AS9" s="791"/>
      <c r="AT9" s="791"/>
      <c r="AU9" s="791"/>
      <c r="AV9" s="791"/>
      <c r="AW9" s="791"/>
      <c r="AX9" s="791"/>
      <c r="AY9" s="791"/>
      <c r="AZ9" s="791"/>
      <c r="BA9" s="791"/>
      <c r="BB9" s="791"/>
      <c r="BC9" s="791"/>
      <c r="BD9" s="791"/>
      <c r="BE9" s="791"/>
      <c r="BF9" s="791"/>
      <c r="BG9" s="791"/>
      <c r="BH9" s="791"/>
      <c r="BI9" s="791"/>
      <c r="BJ9" s="791"/>
      <c r="BK9" s="791"/>
      <c r="BL9" s="791"/>
      <c r="BM9" s="791"/>
      <c r="BN9" s="791"/>
      <c r="BO9" s="791"/>
      <c r="BP9" s="794"/>
      <c r="BQ9" s="791"/>
      <c r="BR9" s="793"/>
      <c r="BS9" s="791"/>
      <c r="BT9" s="791"/>
      <c r="BU9" s="791"/>
      <c r="BV9" s="791"/>
      <c r="BW9" s="791"/>
      <c r="BX9" s="791"/>
      <c r="BY9" s="791"/>
      <c r="BZ9" s="791"/>
      <c r="CA9" s="791"/>
      <c r="CB9" s="791"/>
      <c r="CC9" s="791"/>
      <c r="CD9" s="791"/>
      <c r="CE9" s="791"/>
      <c r="CF9" s="791"/>
      <c r="CG9" s="791"/>
      <c r="CH9" s="791"/>
      <c r="CI9" s="791"/>
      <c r="CJ9" s="791"/>
      <c r="CK9" s="791"/>
      <c r="CL9" s="791"/>
      <c r="CM9" s="791"/>
      <c r="CN9" s="791"/>
      <c r="CO9" s="791"/>
      <c r="CP9" s="791"/>
      <c r="CQ9" s="791"/>
      <c r="CR9" s="791"/>
      <c r="CS9" s="791"/>
      <c r="CT9" s="791"/>
      <c r="CU9" s="791"/>
      <c r="CV9" s="791"/>
      <c r="CW9" s="791"/>
      <c r="CX9" s="791"/>
      <c r="CY9" s="791"/>
      <c r="CZ9" s="791"/>
      <c r="DA9" s="791"/>
      <c r="DB9" s="791"/>
      <c r="DC9" s="791"/>
      <c r="DD9" s="791"/>
      <c r="DE9" s="791"/>
      <c r="DF9" s="791"/>
      <c r="DG9" s="791"/>
      <c r="DH9" s="791"/>
      <c r="DI9" s="791"/>
      <c r="DJ9" s="791"/>
    </row>
    <row r="10" spans="2:178" ht="90" customHeight="1">
      <c r="B10" s="792" t="s">
        <v>187</v>
      </c>
      <c r="C10" s="791"/>
      <c r="D10" s="791"/>
      <c r="E10" s="791"/>
      <c r="F10" s="791"/>
      <c r="G10" s="791"/>
      <c r="H10" s="791"/>
      <c r="I10" s="791"/>
      <c r="J10" s="791"/>
      <c r="K10" s="791"/>
      <c r="L10" s="791"/>
      <c r="M10" s="791"/>
      <c r="N10" s="791"/>
      <c r="O10" s="791"/>
      <c r="P10" s="791"/>
      <c r="Q10" s="791"/>
      <c r="R10" s="791"/>
      <c r="S10" s="791"/>
      <c r="T10" s="791"/>
      <c r="U10" s="791"/>
      <c r="V10" s="791"/>
      <c r="W10" s="791"/>
      <c r="X10" s="791"/>
      <c r="Y10" s="791"/>
      <c r="Z10" s="791"/>
      <c r="AA10" s="791"/>
      <c r="AB10" s="791"/>
      <c r="AC10" s="791"/>
      <c r="AD10" s="791"/>
      <c r="AE10" s="791"/>
      <c r="AF10" s="791"/>
      <c r="AG10" s="791"/>
      <c r="AH10" s="791"/>
      <c r="AI10" s="791"/>
      <c r="AJ10" s="791"/>
      <c r="AK10" s="791"/>
      <c r="AL10" s="791"/>
      <c r="AM10" s="791"/>
      <c r="AN10" s="791"/>
      <c r="AO10" s="791"/>
      <c r="AP10" s="791"/>
      <c r="AQ10" s="791"/>
      <c r="AR10" s="791"/>
      <c r="AS10" s="791"/>
      <c r="AT10" s="791"/>
      <c r="AU10" s="791"/>
      <c r="AV10" s="791"/>
      <c r="AW10" s="791"/>
      <c r="AX10" s="791"/>
      <c r="AY10" s="791"/>
      <c r="AZ10" s="791"/>
      <c r="BA10" s="791"/>
      <c r="BB10" s="791"/>
      <c r="BC10" s="791"/>
      <c r="BD10" s="791"/>
      <c r="BE10" s="791"/>
      <c r="BF10" s="791"/>
      <c r="BG10" s="791"/>
      <c r="BH10" s="791"/>
      <c r="BI10" s="791"/>
      <c r="BJ10" s="791"/>
      <c r="BK10" s="791"/>
      <c r="BL10" s="791"/>
      <c r="BM10" s="791"/>
      <c r="BN10" s="791"/>
      <c r="BO10" s="791"/>
      <c r="BP10" s="791"/>
      <c r="BQ10" s="791"/>
      <c r="BR10" s="791"/>
      <c r="BS10" s="791"/>
      <c r="BT10" s="791"/>
      <c r="BU10" s="791"/>
      <c r="BV10" s="791"/>
      <c r="BW10" s="791"/>
      <c r="BX10" s="791"/>
      <c r="BY10" s="791"/>
      <c r="BZ10" s="791"/>
      <c r="CA10" s="791"/>
      <c r="CB10" s="791"/>
      <c r="CC10" s="791"/>
      <c r="CD10" s="790"/>
      <c r="CE10" s="790"/>
      <c r="CF10" s="790"/>
      <c r="CG10" s="790"/>
      <c r="CH10" s="790"/>
      <c r="CI10" s="790"/>
      <c r="CJ10" s="790"/>
      <c r="CK10" s="790"/>
      <c r="CL10" s="790"/>
      <c r="CM10" s="790"/>
      <c r="CN10" s="790"/>
      <c r="CO10" s="790"/>
      <c r="CP10" s="790"/>
      <c r="CQ10" s="790"/>
      <c r="CR10" s="790"/>
      <c r="CS10" s="790"/>
      <c r="CT10" s="790"/>
      <c r="CU10" s="790"/>
      <c r="CV10" s="790"/>
      <c r="CW10" s="790"/>
      <c r="CX10" s="790"/>
      <c r="CY10" s="790"/>
      <c r="CZ10" s="790"/>
      <c r="DA10" s="790"/>
      <c r="DB10" s="790"/>
      <c r="DC10" s="790"/>
      <c r="DD10" s="790"/>
      <c r="DE10" s="790"/>
      <c r="DF10" s="790"/>
      <c r="DG10" s="790"/>
      <c r="DH10" s="790"/>
      <c r="DI10" s="790"/>
      <c r="DJ10" s="790"/>
      <c r="DN10" s="789"/>
    </row>
    <row r="11" spans="2:178" ht="90" customHeight="1">
      <c r="B11" s="788" t="s">
        <v>186</v>
      </c>
      <c r="C11" s="785"/>
      <c r="D11" s="785"/>
      <c r="E11" s="785"/>
      <c r="F11" s="785"/>
      <c r="G11" s="785"/>
      <c r="H11" s="785"/>
      <c r="I11" s="785"/>
      <c r="J11" s="785"/>
      <c r="K11" s="785"/>
      <c r="L11" s="785"/>
      <c r="M11" s="785"/>
      <c r="N11" s="785"/>
      <c r="O11" s="785"/>
      <c r="P11" s="785"/>
      <c r="Q11" s="785"/>
      <c r="R11" s="785"/>
      <c r="S11" s="785"/>
      <c r="T11" s="785"/>
      <c r="U11" s="785"/>
      <c r="V11" s="785"/>
      <c r="W11" s="785"/>
      <c r="X11" s="785"/>
      <c r="Y11" s="785"/>
      <c r="Z11" s="785"/>
      <c r="AA11" s="785"/>
      <c r="AB11" s="785"/>
      <c r="AC11" s="785"/>
      <c r="AD11" s="785"/>
      <c r="AE11" s="785"/>
      <c r="AF11" s="785"/>
      <c r="AG11" s="785"/>
      <c r="AH11" s="785"/>
      <c r="AI11" s="785"/>
      <c r="AJ11" s="785"/>
      <c r="AK11" s="785"/>
      <c r="AL11" s="785"/>
      <c r="AM11" s="785"/>
      <c r="AN11" s="785"/>
      <c r="AO11" s="785"/>
      <c r="AP11" s="785"/>
      <c r="AQ11" s="785"/>
      <c r="AR11" s="785"/>
      <c r="AS11" s="785"/>
      <c r="AT11" s="787"/>
      <c r="AU11" s="787"/>
      <c r="AV11" s="787"/>
      <c r="AW11" s="787"/>
      <c r="AX11" s="787"/>
      <c r="AY11" s="787"/>
      <c r="AZ11" s="787"/>
      <c r="BA11" s="787"/>
      <c r="BB11" s="787"/>
      <c r="BC11" s="787"/>
      <c r="BD11" s="787"/>
      <c r="BE11" s="787"/>
      <c r="BF11" s="787"/>
      <c r="BG11" s="787"/>
      <c r="BH11" s="787"/>
      <c r="BI11" s="787"/>
      <c r="BJ11" s="787"/>
      <c r="BK11" s="787"/>
      <c r="BL11" s="787"/>
      <c r="BM11" s="787"/>
      <c r="BN11" s="787"/>
      <c r="BO11" s="787"/>
      <c r="BP11" s="787"/>
      <c r="BQ11" s="787"/>
      <c r="BR11" s="787"/>
      <c r="BS11" s="787"/>
      <c r="BT11" s="787"/>
      <c r="BU11" s="787"/>
      <c r="BV11" s="787"/>
      <c r="BW11" s="787"/>
      <c r="BX11" s="787"/>
      <c r="BY11" s="787"/>
      <c r="BZ11" s="787"/>
      <c r="CA11" s="787"/>
      <c r="CB11" s="787"/>
      <c r="CC11" s="787"/>
      <c r="CD11" s="787"/>
      <c r="CE11" s="787"/>
      <c r="CF11" s="787"/>
      <c r="CG11" s="787"/>
      <c r="CH11" s="787"/>
      <c r="CI11" s="787"/>
      <c r="CJ11" s="787"/>
      <c r="CK11" s="787"/>
      <c r="CL11" s="787"/>
      <c r="CM11" s="787"/>
      <c r="CN11" s="787"/>
      <c r="CO11" s="787"/>
      <c r="CP11" s="787"/>
      <c r="CQ11" s="787"/>
      <c r="CR11" s="787"/>
      <c r="CS11" s="787"/>
      <c r="CT11" s="787"/>
      <c r="CU11" s="787"/>
      <c r="CV11" s="787"/>
      <c r="CW11" s="787"/>
      <c r="CX11" s="787"/>
      <c r="CY11" s="787"/>
      <c r="CZ11" s="787"/>
      <c r="DA11" s="787"/>
      <c r="DB11" s="787"/>
      <c r="DC11" s="787"/>
      <c r="DD11" s="787"/>
      <c r="DE11" s="787"/>
      <c r="DF11" s="787"/>
      <c r="DG11" s="787"/>
      <c r="DH11" s="787"/>
      <c r="DI11" s="787"/>
      <c r="DJ11" s="787"/>
      <c r="DK11" s="564"/>
      <c r="DN11" s="786"/>
      <c r="DO11" s="785"/>
      <c r="DP11" s="785"/>
      <c r="DQ11" s="785"/>
      <c r="DR11" s="785"/>
      <c r="DS11" s="785"/>
      <c r="DT11" s="785"/>
      <c r="DU11" s="785"/>
      <c r="DV11" s="785"/>
      <c r="DW11" s="785"/>
      <c r="DX11" s="785"/>
      <c r="DY11" s="785"/>
      <c r="DZ11" s="785"/>
      <c r="EA11" s="785"/>
      <c r="EB11" s="785"/>
      <c r="EC11" s="785"/>
      <c r="ED11" s="785"/>
      <c r="EE11" s="785"/>
      <c r="EF11" s="785"/>
      <c r="EG11" s="785"/>
      <c r="EH11" s="785"/>
      <c r="EI11" s="785"/>
      <c r="EJ11" s="785"/>
      <c r="EK11" s="785"/>
      <c r="EL11" s="785"/>
      <c r="EM11" s="785"/>
      <c r="EN11" s="785"/>
      <c r="EO11" s="785"/>
      <c r="EP11" s="785"/>
      <c r="EQ11" s="785"/>
      <c r="ER11" s="785"/>
      <c r="ES11" s="785"/>
      <c r="ET11" s="785"/>
      <c r="EU11" s="785"/>
      <c r="EV11" s="785"/>
      <c r="EW11" s="785"/>
      <c r="EX11" s="785"/>
      <c r="EY11" s="785"/>
      <c r="EZ11" s="785"/>
      <c r="FA11" s="785"/>
      <c r="FB11" s="785"/>
      <c r="FC11" s="785"/>
      <c r="FD11" s="785"/>
      <c r="FE11" s="785"/>
      <c r="FF11" s="785"/>
      <c r="FG11" s="785"/>
      <c r="FH11" s="785"/>
      <c r="FI11" s="785"/>
      <c r="FJ11" s="785"/>
      <c r="FK11" s="785"/>
      <c r="FL11" s="785"/>
      <c r="FM11" s="785"/>
      <c r="FN11" s="785"/>
      <c r="FO11" s="785"/>
      <c r="FP11" s="785"/>
      <c r="FQ11" s="564"/>
    </row>
    <row r="12" spans="2:178" ht="80.099999999999994" customHeight="1" thickBot="1">
      <c r="C12" s="782"/>
      <c r="D12" s="782"/>
      <c r="E12" s="782"/>
      <c r="F12" s="782"/>
      <c r="G12" s="782"/>
      <c r="H12" s="782"/>
      <c r="I12" s="782"/>
      <c r="J12" s="782"/>
      <c r="K12" s="782"/>
      <c r="L12" s="782"/>
      <c r="M12" s="782"/>
      <c r="N12" s="782"/>
      <c r="O12" s="782"/>
      <c r="P12" s="782"/>
      <c r="Q12" s="782"/>
      <c r="R12" s="782"/>
      <c r="S12" s="782"/>
      <c r="T12" s="782"/>
      <c r="U12" s="782"/>
      <c r="V12" s="782"/>
      <c r="W12" s="782"/>
      <c r="X12" s="782"/>
      <c r="Y12" s="782"/>
      <c r="Z12" s="782"/>
      <c r="AA12" s="782"/>
      <c r="AB12" s="782"/>
      <c r="AC12" s="782"/>
      <c r="AD12" s="782"/>
      <c r="AE12" s="782"/>
      <c r="AF12" s="782"/>
      <c r="AG12" s="782"/>
      <c r="AH12" s="782"/>
      <c r="AI12" s="782"/>
      <c r="AJ12" s="782"/>
      <c r="AK12" s="782"/>
      <c r="AL12" s="782"/>
      <c r="AM12" s="782"/>
      <c r="AN12" s="782"/>
      <c r="AO12" s="782"/>
      <c r="AP12" s="782"/>
      <c r="AQ12" s="782"/>
      <c r="AR12" s="782"/>
      <c r="AS12" s="782"/>
      <c r="AT12" s="782"/>
      <c r="AU12" s="782"/>
      <c r="AV12" s="782"/>
      <c r="AW12" s="782"/>
      <c r="AX12" s="784"/>
      <c r="AY12" s="784"/>
      <c r="AZ12" s="784"/>
      <c r="BA12" s="784"/>
      <c r="BB12" s="784"/>
      <c r="BC12" s="784"/>
      <c r="BD12" s="784"/>
      <c r="BE12" s="783"/>
      <c r="BF12" s="783"/>
      <c r="BG12" s="783"/>
      <c r="BH12" s="783"/>
      <c r="BI12" s="783"/>
      <c r="BJ12" s="783"/>
      <c r="BK12" s="783"/>
      <c r="BL12" s="783"/>
      <c r="BM12" s="783"/>
      <c r="BN12" s="783"/>
      <c r="BO12" s="783"/>
      <c r="BP12" s="783"/>
      <c r="BQ12" s="783"/>
      <c r="BR12" s="783"/>
      <c r="BS12" s="783"/>
      <c r="BT12" s="783"/>
      <c r="BU12" s="783"/>
      <c r="BV12" s="783"/>
      <c r="BW12" s="783"/>
      <c r="BX12" s="783"/>
      <c r="BY12" s="783"/>
      <c r="BZ12" s="783"/>
      <c r="CA12" s="783"/>
      <c r="CB12" s="783"/>
      <c r="CC12" s="783"/>
      <c r="CD12" s="783"/>
      <c r="CE12" s="783"/>
      <c r="CF12" s="783"/>
      <c r="CG12" s="783"/>
      <c r="CH12" s="783"/>
      <c r="CI12" s="783"/>
      <c r="CJ12" s="783"/>
      <c r="CK12" s="783"/>
      <c r="CL12" s="783"/>
      <c r="CM12" s="783"/>
      <c r="CN12" s="783"/>
      <c r="CO12" s="783"/>
      <c r="CP12" s="783"/>
      <c r="CQ12" s="783"/>
      <c r="CR12" s="783"/>
      <c r="CS12" s="783"/>
      <c r="CT12" s="783"/>
      <c r="CU12" s="783"/>
      <c r="CV12" s="783"/>
      <c r="CW12" s="783"/>
      <c r="CX12" s="783"/>
      <c r="CY12" s="783"/>
      <c r="CZ12" s="783"/>
      <c r="DA12" s="783"/>
      <c r="DB12" s="783"/>
      <c r="DC12" s="783"/>
      <c r="DD12" s="783"/>
      <c r="DE12" s="783"/>
      <c r="DF12" s="783"/>
      <c r="DG12" s="783"/>
      <c r="DH12" s="783"/>
      <c r="DI12" s="783"/>
      <c r="DJ12" s="783"/>
      <c r="DK12" s="566"/>
      <c r="DL12" s="566"/>
      <c r="DM12" s="566"/>
      <c r="DN12" s="561"/>
      <c r="DO12" s="782"/>
      <c r="DP12" s="782"/>
      <c r="DQ12" s="782"/>
      <c r="DR12" s="782"/>
      <c r="DS12" s="782"/>
      <c r="DT12" s="782"/>
      <c r="DU12" s="782"/>
      <c r="DV12" s="782"/>
      <c r="DW12" s="782"/>
      <c r="DX12" s="782"/>
      <c r="DY12" s="782"/>
      <c r="DZ12" s="782"/>
      <c r="EA12" s="782"/>
      <c r="EB12" s="782"/>
      <c r="EC12" s="782"/>
      <c r="ED12" s="782"/>
      <c r="EE12" s="782"/>
      <c r="EF12" s="782"/>
      <c r="EG12" s="782"/>
      <c r="EH12" s="782"/>
      <c r="EI12" s="782"/>
      <c r="EJ12" s="782"/>
      <c r="EK12" s="782"/>
      <c r="EL12" s="782"/>
      <c r="EM12" s="782"/>
      <c r="EN12" s="782"/>
      <c r="EO12" s="782"/>
      <c r="EP12" s="782"/>
      <c r="EQ12" s="782"/>
      <c r="ER12" s="782"/>
      <c r="ES12" s="782"/>
      <c r="ET12" s="782"/>
      <c r="EU12" s="782"/>
      <c r="EV12" s="782"/>
      <c r="EW12" s="782"/>
      <c r="EX12" s="782"/>
      <c r="EY12" s="782"/>
      <c r="EZ12" s="782"/>
      <c r="FA12" s="782"/>
      <c r="FB12" s="782"/>
      <c r="FC12" s="782"/>
      <c r="FD12" s="782"/>
      <c r="FE12" s="782"/>
      <c r="FF12" s="564"/>
      <c r="FG12" s="564"/>
      <c r="FH12" s="564"/>
      <c r="FI12" s="564"/>
      <c r="FJ12" s="564"/>
      <c r="FK12" s="564"/>
      <c r="FL12" s="564"/>
      <c r="FM12" s="564"/>
      <c r="FN12" s="564"/>
      <c r="FO12" s="564"/>
      <c r="FP12" s="564"/>
      <c r="FQ12" s="564"/>
      <c r="FR12" s="339"/>
      <c r="FS12" s="339"/>
      <c r="FT12" s="339"/>
      <c r="FU12" s="339"/>
      <c r="FV12" s="339"/>
    </row>
    <row r="13" spans="2:178" ht="44.25" customHeight="1">
      <c r="B13" s="781"/>
      <c r="C13" s="853">
        <v>2006</v>
      </c>
      <c r="D13" s="854"/>
      <c r="E13" s="854"/>
      <c r="F13" s="854"/>
      <c r="G13" s="854"/>
      <c r="H13" s="854"/>
      <c r="I13" s="854"/>
      <c r="J13" s="854"/>
      <c r="K13" s="854"/>
      <c r="L13" s="854"/>
      <c r="M13" s="854"/>
      <c r="N13" s="854"/>
      <c r="O13" s="853">
        <v>2007</v>
      </c>
      <c r="P13" s="854"/>
      <c r="Q13" s="854"/>
      <c r="R13" s="854"/>
      <c r="S13" s="854"/>
      <c r="T13" s="854"/>
      <c r="U13" s="854"/>
      <c r="V13" s="854"/>
      <c r="W13" s="854"/>
      <c r="X13" s="854"/>
      <c r="Y13" s="854"/>
      <c r="Z13" s="854"/>
      <c r="AA13" s="853">
        <v>2008</v>
      </c>
      <c r="AB13" s="854"/>
      <c r="AC13" s="854"/>
      <c r="AD13" s="854"/>
      <c r="AE13" s="854"/>
      <c r="AF13" s="854"/>
      <c r="AG13" s="854"/>
      <c r="AH13" s="854"/>
      <c r="AI13" s="854"/>
      <c r="AJ13" s="854"/>
      <c r="AK13" s="854"/>
      <c r="AL13" s="854"/>
      <c r="AM13" s="853">
        <v>2009</v>
      </c>
      <c r="AN13" s="854"/>
      <c r="AO13" s="854"/>
      <c r="AP13" s="854"/>
      <c r="AQ13" s="854"/>
      <c r="AR13" s="854"/>
      <c r="AS13" s="854"/>
      <c r="AT13" s="854"/>
      <c r="AU13" s="854"/>
      <c r="AV13" s="854"/>
      <c r="AW13" s="854"/>
      <c r="AX13" s="862"/>
      <c r="AY13" s="802">
        <v>2010</v>
      </c>
      <c r="AZ13" s="803"/>
      <c r="BA13" s="803"/>
      <c r="BB13" s="803"/>
      <c r="BC13" s="803"/>
      <c r="BD13" s="803"/>
      <c r="BE13" s="803"/>
      <c r="BF13" s="803"/>
      <c r="BG13" s="803"/>
      <c r="BH13" s="803"/>
      <c r="BI13" s="803"/>
      <c r="BJ13" s="804"/>
      <c r="BK13" s="802">
        <v>2011</v>
      </c>
      <c r="BL13" s="803"/>
      <c r="BM13" s="803"/>
      <c r="BN13" s="803"/>
      <c r="BO13" s="803"/>
      <c r="BP13" s="803"/>
      <c r="BQ13" s="803"/>
      <c r="BR13" s="803"/>
      <c r="BS13" s="803"/>
      <c r="BT13" s="803"/>
      <c r="BU13" s="803"/>
      <c r="BV13" s="804"/>
      <c r="BW13" s="802">
        <v>2012</v>
      </c>
      <c r="BX13" s="803"/>
      <c r="BY13" s="803"/>
      <c r="BZ13" s="803"/>
      <c r="CA13" s="803"/>
      <c r="CB13" s="803"/>
      <c r="CC13" s="803"/>
      <c r="CD13" s="803"/>
      <c r="CE13" s="803"/>
      <c r="CF13" s="803"/>
      <c r="CG13" s="803"/>
      <c r="CH13" s="804"/>
      <c r="CI13" s="802">
        <v>2013</v>
      </c>
      <c r="CJ13" s="803"/>
      <c r="CK13" s="803"/>
      <c r="CL13" s="803"/>
      <c r="CM13" s="803"/>
      <c r="CN13" s="803"/>
      <c r="CO13" s="803"/>
      <c r="CP13" s="803"/>
      <c r="CQ13" s="803"/>
      <c r="CR13" s="803"/>
      <c r="CS13" s="803"/>
      <c r="CT13" s="804"/>
      <c r="CU13" s="802">
        <v>2014</v>
      </c>
      <c r="CV13" s="803"/>
      <c r="CW13" s="803"/>
      <c r="CX13" s="803"/>
      <c r="CY13" s="803"/>
      <c r="CZ13" s="803"/>
      <c r="DA13" s="803"/>
      <c r="DB13" s="803"/>
      <c r="DC13" s="803"/>
      <c r="DD13" s="803"/>
      <c r="DE13" s="803"/>
      <c r="DF13" s="804"/>
      <c r="DG13" s="802">
        <v>2015</v>
      </c>
      <c r="DH13" s="803"/>
      <c r="DI13" s="803"/>
      <c r="DJ13" s="804"/>
      <c r="DK13" s="826" t="s">
        <v>149</v>
      </c>
      <c r="DL13" s="873"/>
      <c r="DM13" s="873" t="s">
        <v>123</v>
      </c>
      <c r="DN13" s="561"/>
    </row>
    <row r="14" spans="2:178" ht="60" customHeight="1" thickBot="1">
      <c r="B14" s="780"/>
      <c r="C14" s="855"/>
      <c r="D14" s="856"/>
      <c r="E14" s="856"/>
      <c r="F14" s="856"/>
      <c r="G14" s="856"/>
      <c r="H14" s="856"/>
      <c r="I14" s="856"/>
      <c r="J14" s="856"/>
      <c r="K14" s="856"/>
      <c r="L14" s="856"/>
      <c r="M14" s="856"/>
      <c r="N14" s="856"/>
      <c r="O14" s="855"/>
      <c r="P14" s="856"/>
      <c r="Q14" s="856"/>
      <c r="R14" s="856"/>
      <c r="S14" s="856"/>
      <c r="T14" s="856"/>
      <c r="U14" s="856"/>
      <c r="V14" s="856"/>
      <c r="W14" s="856"/>
      <c r="X14" s="856"/>
      <c r="Y14" s="856"/>
      <c r="Z14" s="856"/>
      <c r="AA14" s="855"/>
      <c r="AB14" s="856"/>
      <c r="AC14" s="856"/>
      <c r="AD14" s="856"/>
      <c r="AE14" s="856"/>
      <c r="AF14" s="856"/>
      <c r="AG14" s="856"/>
      <c r="AH14" s="856"/>
      <c r="AI14" s="856"/>
      <c r="AJ14" s="856"/>
      <c r="AK14" s="856"/>
      <c r="AL14" s="856"/>
      <c r="AM14" s="855"/>
      <c r="AN14" s="856"/>
      <c r="AO14" s="856"/>
      <c r="AP14" s="856"/>
      <c r="AQ14" s="856"/>
      <c r="AR14" s="856"/>
      <c r="AS14" s="856"/>
      <c r="AT14" s="856"/>
      <c r="AU14" s="856"/>
      <c r="AV14" s="856"/>
      <c r="AW14" s="856"/>
      <c r="AX14" s="863"/>
      <c r="AY14" s="805"/>
      <c r="AZ14" s="806"/>
      <c r="BA14" s="806"/>
      <c r="BB14" s="806"/>
      <c r="BC14" s="806"/>
      <c r="BD14" s="806"/>
      <c r="BE14" s="806"/>
      <c r="BF14" s="806"/>
      <c r="BG14" s="806"/>
      <c r="BH14" s="806"/>
      <c r="BI14" s="806"/>
      <c r="BJ14" s="807"/>
      <c r="BK14" s="805"/>
      <c r="BL14" s="806"/>
      <c r="BM14" s="806"/>
      <c r="BN14" s="806"/>
      <c r="BO14" s="806"/>
      <c r="BP14" s="806"/>
      <c r="BQ14" s="806"/>
      <c r="BR14" s="806"/>
      <c r="BS14" s="806"/>
      <c r="BT14" s="806"/>
      <c r="BU14" s="806"/>
      <c r="BV14" s="807"/>
      <c r="BW14" s="805"/>
      <c r="BX14" s="806"/>
      <c r="BY14" s="806"/>
      <c r="BZ14" s="806"/>
      <c r="CA14" s="806"/>
      <c r="CB14" s="806"/>
      <c r="CC14" s="806"/>
      <c r="CD14" s="806"/>
      <c r="CE14" s="806"/>
      <c r="CF14" s="806"/>
      <c r="CG14" s="806"/>
      <c r="CH14" s="807"/>
      <c r="CI14" s="805"/>
      <c r="CJ14" s="806"/>
      <c r="CK14" s="806"/>
      <c r="CL14" s="806"/>
      <c r="CM14" s="806"/>
      <c r="CN14" s="806"/>
      <c r="CO14" s="806"/>
      <c r="CP14" s="806"/>
      <c r="CQ14" s="806"/>
      <c r="CR14" s="806"/>
      <c r="CS14" s="806"/>
      <c r="CT14" s="807"/>
      <c r="CU14" s="805"/>
      <c r="CV14" s="806"/>
      <c r="CW14" s="806"/>
      <c r="CX14" s="806"/>
      <c r="CY14" s="806"/>
      <c r="CZ14" s="806"/>
      <c r="DA14" s="806"/>
      <c r="DB14" s="806"/>
      <c r="DC14" s="806"/>
      <c r="DD14" s="806"/>
      <c r="DE14" s="806"/>
      <c r="DF14" s="807"/>
      <c r="DG14" s="805"/>
      <c r="DH14" s="806"/>
      <c r="DI14" s="806"/>
      <c r="DJ14" s="807"/>
      <c r="DK14" s="827"/>
      <c r="DL14" s="874"/>
      <c r="DM14" s="874"/>
    </row>
    <row r="15" spans="2:178" ht="80.099999999999994" customHeight="1" thickBot="1">
      <c r="B15" s="779" t="s">
        <v>154</v>
      </c>
      <c r="C15" s="778">
        <v>38718</v>
      </c>
      <c r="D15" s="777">
        <v>38749</v>
      </c>
      <c r="E15" s="777">
        <v>38777</v>
      </c>
      <c r="F15" s="778">
        <v>38808</v>
      </c>
      <c r="G15" s="777">
        <v>38838</v>
      </c>
      <c r="H15" s="776">
        <v>38869</v>
      </c>
      <c r="I15" s="775">
        <v>38899</v>
      </c>
      <c r="J15" s="772">
        <v>38930</v>
      </c>
      <c r="K15" s="772" t="s">
        <v>141</v>
      </c>
      <c r="L15" s="772" t="s">
        <v>140</v>
      </c>
      <c r="M15" s="772">
        <v>39022</v>
      </c>
      <c r="N15" s="774">
        <v>39052</v>
      </c>
      <c r="O15" s="773" t="s">
        <v>14</v>
      </c>
      <c r="P15" s="767" t="s">
        <v>185</v>
      </c>
      <c r="Q15" s="767" t="s">
        <v>4</v>
      </c>
      <c r="R15" s="767" t="s">
        <v>137</v>
      </c>
      <c r="S15" s="767" t="s">
        <v>6</v>
      </c>
      <c r="T15" s="767" t="s">
        <v>7</v>
      </c>
      <c r="U15" s="767" t="s">
        <v>8</v>
      </c>
      <c r="V15" s="772" t="s">
        <v>9</v>
      </c>
      <c r="W15" s="766" t="s">
        <v>10</v>
      </c>
      <c r="X15" s="771" t="s">
        <v>11</v>
      </c>
      <c r="Y15" s="766" t="s">
        <v>12</v>
      </c>
      <c r="Z15" s="770" t="s">
        <v>13</v>
      </c>
      <c r="AA15" s="764">
        <v>39448</v>
      </c>
      <c r="AB15" s="769" t="s">
        <v>3</v>
      </c>
      <c r="AC15" s="767" t="s">
        <v>4</v>
      </c>
      <c r="AD15" s="767" t="s">
        <v>5</v>
      </c>
      <c r="AE15" s="769" t="s">
        <v>6</v>
      </c>
      <c r="AF15" s="768" t="s">
        <v>16</v>
      </c>
      <c r="AG15" s="767" t="s">
        <v>17</v>
      </c>
      <c r="AH15" s="767" t="s">
        <v>18</v>
      </c>
      <c r="AI15" s="767" t="s">
        <v>10</v>
      </c>
      <c r="AJ15" s="767" t="s">
        <v>22</v>
      </c>
      <c r="AK15" s="766" t="s">
        <v>23</v>
      </c>
      <c r="AL15" s="765" t="s">
        <v>24</v>
      </c>
      <c r="AM15" s="764">
        <v>39814</v>
      </c>
      <c r="AN15" s="763" t="s">
        <v>20</v>
      </c>
      <c r="AO15" s="763" t="s">
        <v>4</v>
      </c>
      <c r="AP15" s="763" t="s">
        <v>5</v>
      </c>
      <c r="AQ15" s="763" t="s">
        <v>6</v>
      </c>
      <c r="AR15" s="763" t="s">
        <v>7</v>
      </c>
      <c r="AS15" s="762" t="s">
        <v>17</v>
      </c>
      <c r="AT15" s="762" t="s">
        <v>18</v>
      </c>
      <c r="AU15" s="762" t="s">
        <v>21</v>
      </c>
      <c r="AV15" s="761" t="s">
        <v>22</v>
      </c>
      <c r="AW15" s="760" t="s">
        <v>23</v>
      </c>
      <c r="AX15" s="759" t="s">
        <v>24</v>
      </c>
      <c r="AY15" s="440">
        <v>40179</v>
      </c>
      <c r="AZ15" s="440">
        <v>40210</v>
      </c>
      <c r="BA15" s="440">
        <v>40238</v>
      </c>
      <c r="BB15" s="440" t="s">
        <v>5</v>
      </c>
      <c r="BC15" s="440" t="s">
        <v>6</v>
      </c>
      <c r="BD15" s="440" t="s">
        <v>7</v>
      </c>
      <c r="BE15" s="440" t="s">
        <v>17</v>
      </c>
      <c r="BF15" s="440" t="s">
        <v>18</v>
      </c>
      <c r="BG15" s="440" t="s">
        <v>21</v>
      </c>
      <c r="BH15" s="440" t="s">
        <v>22</v>
      </c>
      <c r="BI15" s="440" t="s">
        <v>23</v>
      </c>
      <c r="BJ15" s="440" t="s">
        <v>24</v>
      </c>
      <c r="BK15" s="443" t="s">
        <v>115</v>
      </c>
      <c r="BL15" s="440">
        <v>40575</v>
      </c>
      <c r="BM15" s="440">
        <v>40603</v>
      </c>
      <c r="BN15" s="440">
        <v>40634</v>
      </c>
      <c r="BO15" s="443" t="s">
        <v>32</v>
      </c>
      <c r="BP15" s="440">
        <v>40695</v>
      </c>
      <c r="BQ15" s="440" t="s">
        <v>17</v>
      </c>
      <c r="BR15" s="440" t="s">
        <v>18</v>
      </c>
      <c r="BS15" s="440" t="s">
        <v>21</v>
      </c>
      <c r="BT15" s="440" t="s">
        <v>22</v>
      </c>
      <c r="BU15" s="440" t="s">
        <v>23</v>
      </c>
      <c r="BV15" s="440" t="s">
        <v>24</v>
      </c>
      <c r="BW15" s="441" t="s">
        <v>114</v>
      </c>
      <c r="BX15" s="442" t="s">
        <v>20</v>
      </c>
      <c r="BY15" s="442" t="s">
        <v>4</v>
      </c>
      <c r="BZ15" s="442" t="s">
        <v>5</v>
      </c>
      <c r="CA15" s="442" t="s">
        <v>6</v>
      </c>
      <c r="CB15" s="442" t="s">
        <v>7</v>
      </c>
      <c r="CC15" s="442" t="s">
        <v>17</v>
      </c>
      <c r="CD15" s="442" t="s">
        <v>18</v>
      </c>
      <c r="CE15" s="442" t="s">
        <v>21</v>
      </c>
      <c r="CF15" s="442" t="s">
        <v>22</v>
      </c>
      <c r="CG15" s="442" t="s">
        <v>23</v>
      </c>
      <c r="CH15" s="442" t="s">
        <v>24</v>
      </c>
      <c r="CI15" s="442" t="s">
        <v>34</v>
      </c>
      <c r="CJ15" s="442" t="s">
        <v>20</v>
      </c>
      <c r="CK15" s="442" t="s">
        <v>4</v>
      </c>
      <c r="CL15" s="442" t="s">
        <v>5</v>
      </c>
      <c r="CM15" s="442" t="s">
        <v>6</v>
      </c>
      <c r="CN15" s="442" t="s">
        <v>7</v>
      </c>
      <c r="CO15" s="442" t="s">
        <v>17</v>
      </c>
      <c r="CP15" s="442" t="s">
        <v>18</v>
      </c>
      <c r="CQ15" s="442" t="s">
        <v>21</v>
      </c>
      <c r="CR15" s="442" t="s">
        <v>22</v>
      </c>
      <c r="CS15" s="442" t="s">
        <v>23</v>
      </c>
      <c r="CT15" s="442" t="s">
        <v>24</v>
      </c>
      <c r="CU15" s="442" t="s">
        <v>34</v>
      </c>
      <c r="CV15" s="442" t="s">
        <v>20</v>
      </c>
      <c r="CW15" s="442" t="s">
        <v>4</v>
      </c>
      <c r="CX15" s="442" t="s">
        <v>5</v>
      </c>
      <c r="CY15" s="442" t="s">
        <v>6</v>
      </c>
      <c r="CZ15" s="442" t="s">
        <v>7</v>
      </c>
      <c r="DA15" s="442" t="s">
        <v>17</v>
      </c>
      <c r="DB15" s="442" t="s">
        <v>18</v>
      </c>
      <c r="DC15" s="442" t="s">
        <v>21</v>
      </c>
      <c r="DD15" s="442" t="s">
        <v>22</v>
      </c>
      <c r="DE15" s="442" t="s">
        <v>23</v>
      </c>
      <c r="DF15" s="442" t="s">
        <v>24</v>
      </c>
      <c r="DG15" s="442" t="s">
        <v>34</v>
      </c>
      <c r="DH15" s="442" t="s">
        <v>20</v>
      </c>
      <c r="DI15" s="442" t="s">
        <v>4</v>
      </c>
      <c r="DJ15" s="442" t="s">
        <v>5</v>
      </c>
      <c r="DK15" s="441" t="s">
        <v>113</v>
      </c>
      <c r="DL15" s="441" t="s">
        <v>112</v>
      </c>
      <c r="DM15" s="440" t="s">
        <v>111</v>
      </c>
    </row>
    <row r="16" spans="2:178" s="693" customFormat="1" ht="80.099999999999994" customHeight="1" thickBot="1">
      <c r="B16" s="758" t="s">
        <v>184</v>
      </c>
      <c r="C16" s="757">
        <f t="shared" ref="C16:AH16" si="0">C17+C18</f>
        <v>132.542</v>
      </c>
      <c r="D16" s="757">
        <f t="shared" si="0"/>
        <v>114.94200000000001</v>
      </c>
      <c r="E16" s="757">
        <f t="shared" si="0"/>
        <v>11.289</v>
      </c>
      <c r="F16" s="757">
        <f t="shared" si="0"/>
        <v>9.4510000000000005</v>
      </c>
      <c r="G16" s="757">
        <f t="shared" si="0"/>
        <v>131.58799999999999</v>
      </c>
      <c r="H16" s="756">
        <f t="shared" si="0"/>
        <v>64.228999999999999</v>
      </c>
      <c r="I16" s="751">
        <f t="shared" si="0"/>
        <v>12.347</v>
      </c>
      <c r="J16" s="753">
        <f t="shared" si="0"/>
        <v>16.741</v>
      </c>
      <c r="K16" s="753">
        <f t="shared" si="0"/>
        <v>10.504</v>
      </c>
      <c r="L16" s="753">
        <f t="shared" si="0"/>
        <v>58.115000000000002</v>
      </c>
      <c r="M16" s="753">
        <f t="shared" si="0"/>
        <v>76.582999999999998</v>
      </c>
      <c r="N16" s="752">
        <f t="shared" si="0"/>
        <v>96.991</v>
      </c>
      <c r="O16" s="750">
        <f t="shared" si="0"/>
        <v>82.152000000000001</v>
      </c>
      <c r="P16" s="753">
        <f t="shared" si="0"/>
        <v>70.25</v>
      </c>
      <c r="Q16" s="753">
        <f t="shared" si="0"/>
        <v>56.874000000000002</v>
      </c>
      <c r="R16" s="753">
        <f t="shared" si="0"/>
        <v>105.301</v>
      </c>
      <c r="S16" s="753">
        <f t="shared" si="0"/>
        <v>80.724999999999994</v>
      </c>
      <c r="T16" s="753">
        <f t="shared" si="0"/>
        <v>70.423000000000002</v>
      </c>
      <c r="U16" s="753">
        <f t="shared" si="0"/>
        <v>85.507000000000005</v>
      </c>
      <c r="V16" s="753">
        <f t="shared" si="0"/>
        <v>62.124000000000002</v>
      </c>
      <c r="W16" s="753">
        <f t="shared" si="0"/>
        <v>57.363</v>
      </c>
      <c r="X16" s="750">
        <f t="shared" si="0"/>
        <v>57.188000000000002</v>
      </c>
      <c r="Y16" s="750">
        <f t="shared" si="0"/>
        <v>67.506</v>
      </c>
      <c r="Z16" s="755">
        <f t="shared" si="0"/>
        <v>56.390999999999998</v>
      </c>
      <c r="AA16" s="751">
        <f t="shared" si="0"/>
        <v>68.349000000000004</v>
      </c>
      <c r="AB16" s="755">
        <f t="shared" si="0"/>
        <v>74.042000000000002</v>
      </c>
      <c r="AC16" s="753">
        <f t="shared" si="0"/>
        <v>57.504000000000005</v>
      </c>
      <c r="AD16" s="753">
        <f t="shared" si="0"/>
        <v>54.361000000000004</v>
      </c>
      <c r="AE16" s="754">
        <f t="shared" si="0"/>
        <v>51.063000000000002</v>
      </c>
      <c r="AF16" s="753">
        <f t="shared" si="0"/>
        <v>53.126000000000005</v>
      </c>
      <c r="AG16" s="753">
        <f t="shared" si="0"/>
        <v>60.765999999999998</v>
      </c>
      <c r="AH16" s="753">
        <f t="shared" si="0"/>
        <v>50.222999999999999</v>
      </c>
      <c r="AI16" s="753">
        <f t="shared" ref="AI16:BN16" si="1">AI17+AI18</f>
        <v>47.847999999999999</v>
      </c>
      <c r="AJ16" s="753">
        <f t="shared" si="1"/>
        <v>50.08</v>
      </c>
      <c r="AK16" s="753">
        <f t="shared" si="1"/>
        <v>72.787000000000006</v>
      </c>
      <c r="AL16" s="752">
        <f t="shared" si="1"/>
        <v>76.891999999999996</v>
      </c>
      <c r="AM16" s="751">
        <f t="shared" si="1"/>
        <v>70.730999999999995</v>
      </c>
      <c r="AN16" s="750">
        <f t="shared" si="1"/>
        <v>75.272999999999996</v>
      </c>
      <c r="AO16" s="750">
        <f t="shared" si="1"/>
        <v>89.730999999999995</v>
      </c>
      <c r="AP16" s="750">
        <f t="shared" si="1"/>
        <v>84.611000000000004</v>
      </c>
      <c r="AQ16" s="750">
        <f t="shared" si="1"/>
        <v>104.887</v>
      </c>
      <c r="AR16" s="750">
        <f t="shared" si="1"/>
        <v>98.528000000000006</v>
      </c>
      <c r="AS16" s="749">
        <f t="shared" si="1"/>
        <v>85.992000000000004</v>
      </c>
      <c r="AT16" s="749">
        <f t="shared" si="1"/>
        <v>74.078000000000003</v>
      </c>
      <c r="AU16" s="749">
        <f t="shared" si="1"/>
        <v>76.055999999999997</v>
      </c>
      <c r="AV16" s="749">
        <f t="shared" si="1"/>
        <v>92.048000000000002</v>
      </c>
      <c r="AW16" s="748">
        <f t="shared" si="1"/>
        <v>115.065</v>
      </c>
      <c r="AX16" s="747">
        <f t="shared" si="1"/>
        <v>116.744</v>
      </c>
      <c r="AY16" s="746">
        <f t="shared" si="1"/>
        <v>118.702</v>
      </c>
      <c r="AZ16" s="746">
        <f t="shared" si="1"/>
        <v>105.101</v>
      </c>
      <c r="BA16" s="746">
        <f t="shared" si="1"/>
        <v>107.127</v>
      </c>
      <c r="BB16" s="746">
        <f t="shared" si="1"/>
        <v>110.367</v>
      </c>
      <c r="BC16" s="746">
        <f t="shared" si="1"/>
        <v>105.15</v>
      </c>
      <c r="BD16" s="746">
        <f t="shared" si="1"/>
        <v>104.46000000000001</v>
      </c>
      <c r="BE16" s="746">
        <f t="shared" si="1"/>
        <v>100.613</v>
      </c>
      <c r="BF16" s="746">
        <f t="shared" si="1"/>
        <v>80.307000000000002</v>
      </c>
      <c r="BG16" s="746">
        <f t="shared" si="1"/>
        <v>76.801000000000002</v>
      </c>
      <c r="BH16" s="746">
        <f t="shared" si="1"/>
        <v>116.37700000000001</v>
      </c>
      <c r="BI16" s="746">
        <f t="shared" si="1"/>
        <v>130.66300000000001</v>
      </c>
      <c r="BJ16" s="746">
        <f t="shared" si="1"/>
        <v>123.274</v>
      </c>
      <c r="BK16" s="746">
        <f t="shared" si="1"/>
        <v>127.131</v>
      </c>
      <c r="BL16" s="746">
        <f t="shared" si="1"/>
        <v>109.181</v>
      </c>
      <c r="BM16" s="746">
        <f t="shared" si="1"/>
        <v>136.624</v>
      </c>
      <c r="BN16" s="746">
        <f t="shared" si="1"/>
        <v>132.19999999999999</v>
      </c>
      <c r="BO16" s="746">
        <f t="shared" ref="BO16:CT16" si="2">BO17+BO18</f>
        <v>157.88200000000001</v>
      </c>
      <c r="BP16" s="746">
        <f t="shared" si="2"/>
        <v>133.19</v>
      </c>
      <c r="BQ16" s="746">
        <f t="shared" si="2"/>
        <v>85.841999999999999</v>
      </c>
      <c r="BR16" s="746">
        <f t="shared" si="2"/>
        <v>114.718</v>
      </c>
      <c r="BS16" s="746">
        <f t="shared" si="2"/>
        <v>139.53700000000001</v>
      </c>
      <c r="BT16" s="746">
        <f t="shared" si="2"/>
        <v>148.738</v>
      </c>
      <c r="BU16" s="746">
        <f t="shared" si="2"/>
        <v>156.67599999999999</v>
      </c>
      <c r="BV16" s="746">
        <f t="shared" si="2"/>
        <v>161.91</v>
      </c>
      <c r="BW16" s="746">
        <f t="shared" si="2"/>
        <v>157.83699999999999</v>
      </c>
      <c r="BX16" s="746">
        <f t="shared" si="2"/>
        <v>128.56299999999999</v>
      </c>
      <c r="BY16" s="746">
        <f t="shared" si="2"/>
        <v>144.94399999999999</v>
      </c>
      <c r="BZ16" s="746">
        <f t="shared" si="2"/>
        <v>135.43600000000001</v>
      </c>
      <c r="CA16" s="746">
        <f t="shared" si="2"/>
        <v>136.874</v>
      </c>
      <c r="CB16" s="746">
        <f t="shared" si="2"/>
        <v>139.49099999999999</v>
      </c>
      <c r="CC16" s="746">
        <f t="shared" si="2"/>
        <v>131.417</v>
      </c>
      <c r="CD16" s="746">
        <f t="shared" si="2"/>
        <v>102.505</v>
      </c>
      <c r="CE16" s="746">
        <f t="shared" si="2"/>
        <v>89.393000000000001</v>
      </c>
      <c r="CF16" s="746">
        <f t="shared" si="2"/>
        <v>119.285</v>
      </c>
      <c r="CG16" s="746">
        <f t="shared" si="2"/>
        <v>141.48500000000001</v>
      </c>
      <c r="CH16" s="746">
        <f t="shared" si="2"/>
        <v>130.54499999999999</v>
      </c>
      <c r="CI16" s="746">
        <f t="shared" si="2"/>
        <v>104.944</v>
      </c>
      <c r="CJ16" s="746">
        <f t="shared" si="2"/>
        <v>97.174000000000007</v>
      </c>
      <c r="CK16" s="746">
        <f t="shared" si="2"/>
        <v>104.52799999999999</v>
      </c>
      <c r="CL16" s="746">
        <f t="shared" si="2"/>
        <v>128.6</v>
      </c>
      <c r="CM16" s="746">
        <f t="shared" si="2"/>
        <v>135.20099999999999</v>
      </c>
      <c r="CN16" s="746">
        <f t="shared" si="2"/>
        <v>80.427999999999997</v>
      </c>
      <c r="CO16" s="746">
        <f t="shared" si="2"/>
        <v>95.856999999999999</v>
      </c>
      <c r="CP16" s="746">
        <f t="shared" si="2"/>
        <v>67.942000000000007</v>
      </c>
      <c r="CQ16" s="746">
        <f t="shared" si="2"/>
        <v>83.798000000000002</v>
      </c>
      <c r="CR16" s="746">
        <f t="shared" si="2"/>
        <v>74.039999999999992</v>
      </c>
      <c r="CS16" s="746">
        <f t="shared" si="2"/>
        <v>40.777000000000001</v>
      </c>
      <c r="CT16" s="746">
        <f t="shared" si="2"/>
        <v>85.703000000000003</v>
      </c>
      <c r="CU16" s="746">
        <f t="shared" ref="CU16:DL16" si="3">CU17+CU18</f>
        <v>75.224999999999994</v>
      </c>
      <c r="CV16" s="746">
        <f t="shared" si="3"/>
        <v>126.3</v>
      </c>
      <c r="CW16" s="746">
        <f t="shared" si="3"/>
        <v>121.217</v>
      </c>
      <c r="CX16" s="746">
        <f t="shared" si="3"/>
        <v>120.279</v>
      </c>
      <c r="CY16" s="746">
        <f t="shared" si="3"/>
        <v>53.507999999999996</v>
      </c>
      <c r="CZ16" s="746">
        <f t="shared" si="3"/>
        <v>54.387999999999998</v>
      </c>
      <c r="DA16" s="746">
        <f t="shared" si="3"/>
        <v>54.597000000000001</v>
      </c>
      <c r="DB16" s="746">
        <f t="shared" si="3"/>
        <v>56.289000000000001</v>
      </c>
      <c r="DC16" s="746">
        <f t="shared" si="3"/>
        <v>67.924000000000007</v>
      </c>
      <c r="DD16" s="746">
        <f t="shared" si="3"/>
        <v>82.558999999999997</v>
      </c>
      <c r="DE16" s="746">
        <f t="shared" si="3"/>
        <v>96.757999999999996</v>
      </c>
      <c r="DF16" s="746">
        <f t="shared" si="3"/>
        <v>33.873999999999995</v>
      </c>
      <c r="DG16" s="746">
        <f t="shared" si="3"/>
        <v>67.781000000000006</v>
      </c>
      <c r="DH16" s="746">
        <f t="shared" si="3"/>
        <v>71.52</v>
      </c>
      <c r="DI16" s="746">
        <f t="shared" si="3"/>
        <v>82.704000000000008</v>
      </c>
      <c r="DJ16" s="746">
        <f t="shared" si="3"/>
        <v>82.585000000000008</v>
      </c>
      <c r="DK16" s="746">
        <f t="shared" si="3"/>
        <v>443.02100000000002</v>
      </c>
      <c r="DL16" s="746">
        <f t="shared" si="3"/>
        <v>304.59000000000003</v>
      </c>
      <c r="DM16" s="746">
        <f>((DL16/DK16)-1)*100</f>
        <v>-31.247051494172961</v>
      </c>
      <c r="DN16" s="561"/>
    </row>
    <row r="17" spans="1:118" ht="80.099999999999994" customHeight="1">
      <c r="A17" s="725">
        <v>72</v>
      </c>
      <c r="B17" s="724" t="s">
        <v>183</v>
      </c>
      <c r="C17" s="691">
        <v>119</v>
      </c>
      <c r="D17" s="690">
        <v>100</v>
      </c>
      <c r="E17" s="691">
        <v>0</v>
      </c>
      <c r="F17" s="690">
        <v>0</v>
      </c>
      <c r="G17" s="690">
        <v>121</v>
      </c>
      <c r="H17" s="689">
        <v>50</v>
      </c>
      <c r="I17" s="684">
        <v>0</v>
      </c>
      <c r="J17" s="686">
        <v>0</v>
      </c>
      <c r="K17" s="686">
        <v>0</v>
      </c>
      <c r="L17" s="686">
        <v>51</v>
      </c>
      <c r="M17" s="686">
        <v>66</v>
      </c>
      <c r="N17" s="688">
        <v>77</v>
      </c>
      <c r="O17" s="683">
        <v>72</v>
      </c>
      <c r="P17" s="686">
        <v>60</v>
      </c>
      <c r="Q17" s="686">
        <v>50</v>
      </c>
      <c r="R17" s="686">
        <v>96</v>
      </c>
      <c r="S17" s="686">
        <v>70.3</v>
      </c>
      <c r="T17" s="686">
        <v>56</v>
      </c>
      <c r="U17" s="686">
        <v>73</v>
      </c>
      <c r="V17" s="686">
        <v>51</v>
      </c>
      <c r="W17" s="686">
        <v>47</v>
      </c>
      <c r="X17" s="683">
        <v>44</v>
      </c>
      <c r="Y17" s="686">
        <v>60</v>
      </c>
      <c r="Z17" s="687">
        <v>38.9</v>
      </c>
      <c r="AA17" s="684">
        <v>55</v>
      </c>
      <c r="AB17" s="687">
        <v>54</v>
      </c>
      <c r="AC17" s="686">
        <v>40</v>
      </c>
      <c r="AD17" s="686">
        <v>44</v>
      </c>
      <c r="AE17" s="687">
        <v>38</v>
      </c>
      <c r="AF17" s="686">
        <v>37</v>
      </c>
      <c r="AG17" s="686">
        <v>51</v>
      </c>
      <c r="AH17" s="686">
        <v>41</v>
      </c>
      <c r="AI17" s="686">
        <v>35</v>
      </c>
      <c r="AJ17" s="686">
        <v>43</v>
      </c>
      <c r="AK17" s="686">
        <v>50</v>
      </c>
      <c r="AL17" s="685">
        <v>64</v>
      </c>
      <c r="AM17" s="684">
        <v>55</v>
      </c>
      <c r="AN17" s="683">
        <v>56</v>
      </c>
      <c r="AO17" s="683">
        <v>77</v>
      </c>
      <c r="AP17" s="683">
        <v>68</v>
      </c>
      <c r="AQ17" s="683">
        <v>92</v>
      </c>
      <c r="AR17" s="683">
        <v>88</v>
      </c>
      <c r="AS17" s="682">
        <v>76</v>
      </c>
      <c r="AT17" s="682">
        <v>59</v>
      </c>
      <c r="AU17" s="682">
        <v>68</v>
      </c>
      <c r="AV17" s="682">
        <v>72</v>
      </c>
      <c r="AW17" s="681">
        <v>94</v>
      </c>
      <c r="AX17" s="601">
        <v>98</v>
      </c>
      <c r="AY17" s="493">
        <v>97</v>
      </c>
      <c r="AZ17" s="493">
        <v>87</v>
      </c>
      <c r="BA17" s="493">
        <v>91</v>
      </c>
      <c r="BB17" s="493">
        <v>100</v>
      </c>
      <c r="BC17" s="493">
        <v>93</v>
      </c>
      <c r="BD17" s="493">
        <v>87</v>
      </c>
      <c r="BE17" s="493">
        <v>83</v>
      </c>
      <c r="BF17" s="493">
        <v>62</v>
      </c>
      <c r="BG17" s="493">
        <v>68</v>
      </c>
      <c r="BH17" s="493">
        <v>98.075000000000003</v>
      </c>
      <c r="BI17" s="493">
        <v>102</v>
      </c>
      <c r="BJ17" s="493">
        <v>103</v>
      </c>
      <c r="BK17" s="493">
        <v>110</v>
      </c>
      <c r="BL17" s="493">
        <v>96</v>
      </c>
      <c r="BM17" s="493">
        <v>117</v>
      </c>
      <c r="BN17" s="493">
        <v>112</v>
      </c>
      <c r="BO17" s="493">
        <v>146</v>
      </c>
      <c r="BP17" s="493">
        <v>122</v>
      </c>
      <c r="BQ17" s="493">
        <v>71</v>
      </c>
      <c r="BR17" s="493">
        <v>105</v>
      </c>
      <c r="BS17" s="493">
        <v>125</v>
      </c>
      <c r="BT17" s="493">
        <v>134</v>
      </c>
      <c r="BU17" s="493">
        <v>145</v>
      </c>
      <c r="BV17" s="493">
        <v>129</v>
      </c>
      <c r="BW17" s="493">
        <v>143</v>
      </c>
      <c r="BX17" s="493">
        <v>115</v>
      </c>
      <c r="BY17" s="493">
        <v>128</v>
      </c>
      <c r="BZ17" s="493">
        <v>123</v>
      </c>
      <c r="CA17" s="493">
        <v>122</v>
      </c>
      <c r="CB17" s="493">
        <v>125</v>
      </c>
      <c r="CC17" s="493">
        <v>116</v>
      </c>
      <c r="CD17" s="493">
        <v>91</v>
      </c>
      <c r="CE17" s="493">
        <v>76</v>
      </c>
      <c r="CF17" s="493">
        <v>103</v>
      </c>
      <c r="CG17" s="493">
        <v>121</v>
      </c>
      <c r="CH17" s="493">
        <v>117</v>
      </c>
      <c r="CI17" s="493">
        <v>103</v>
      </c>
      <c r="CJ17" s="493">
        <v>75</v>
      </c>
      <c r="CK17" s="493">
        <v>84</v>
      </c>
      <c r="CL17" s="493">
        <v>111</v>
      </c>
      <c r="CM17" s="493">
        <v>107</v>
      </c>
      <c r="CN17" s="493">
        <v>68</v>
      </c>
      <c r="CO17" s="493">
        <v>79</v>
      </c>
      <c r="CP17" s="493">
        <v>45</v>
      </c>
      <c r="CQ17" s="493">
        <v>67</v>
      </c>
      <c r="CR17" s="493">
        <v>59</v>
      </c>
      <c r="CS17" s="493">
        <v>23</v>
      </c>
      <c r="CT17" s="493">
        <v>60.453000000000003</v>
      </c>
      <c r="CU17" s="493">
        <v>63.244999999999997</v>
      </c>
      <c r="CV17" s="493">
        <v>106</v>
      </c>
      <c r="CW17" s="493">
        <v>103</v>
      </c>
      <c r="CX17" s="493">
        <v>97</v>
      </c>
      <c r="CY17" s="493">
        <v>40</v>
      </c>
      <c r="CZ17" s="493">
        <v>40</v>
      </c>
      <c r="DA17" s="493">
        <v>42</v>
      </c>
      <c r="DB17" s="493">
        <v>43</v>
      </c>
      <c r="DC17" s="493">
        <v>56</v>
      </c>
      <c r="DD17" s="493">
        <v>69</v>
      </c>
      <c r="DE17" s="493">
        <v>79</v>
      </c>
      <c r="DF17" s="493">
        <v>14</v>
      </c>
      <c r="DG17" s="493">
        <v>51</v>
      </c>
      <c r="DH17" s="493">
        <v>52</v>
      </c>
      <c r="DI17" s="493">
        <v>68</v>
      </c>
      <c r="DJ17" s="493">
        <v>66</v>
      </c>
      <c r="DK17" s="493">
        <f>SUM(CU17:CX17)</f>
        <v>369.245</v>
      </c>
      <c r="DL17" s="493">
        <f>SUM(DG17:DJ17)</f>
        <v>237</v>
      </c>
      <c r="DM17" s="493">
        <f>((DL17/DK17)-1)*100</f>
        <v>-35.814973797884875</v>
      </c>
    </row>
    <row r="18" spans="1:118" ht="80.099999999999994" customHeight="1" thickBot="1">
      <c r="A18" s="725">
        <v>74</v>
      </c>
      <c r="B18" s="724" t="s">
        <v>182</v>
      </c>
      <c r="C18" s="691">
        <v>13.542</v>
      </c>
      <c r="D18" s="690">
        <v>14.942</v>
      </c>
      <c r="E18" s="691">
        <v>11.289</v>
      </c>
      <c r="F18" s="690">
        <v>9.4510000000000005</v>
      </c>
      <c r="G18" s="690">
        <v>10.587999999999999</v>
      </c>
      <c r="H18" s="689">
        <v>14.228999999999999</v>
      </c>
      <c r="I18" s="684">
        <v>12.347</v>
      </c>
      <c r="J18" s="686">
        <v>16.741</v>
      </c>
      <c r="K18" s="686">
        <v>10.504</v>
      </c>
      <c r="L18" s="686">
        <v>7.1150000000000002</v>
      </c>
      <c r="M18" s="686">
        <v>10.583</v>
      </c>
      <c r="N18" s="688">
        <v>19.991</v>
      </c>
      <c r="O18" s="683">
        <v>10.151999999999999</v>
      </c>
      <c r="P18" s="686">
        <v>10.25</v>
      </c>
      <c r="Q18" s="686">
        <v>6.8739999999999997</v>
      </c>
      <c r="R18" s="686">
        <v>9.3010000000000002</v>
      </c>
      <c r="S18" s="686">
        <v>10.425000000000001</v>
      </c>
      <c r="T18" s="686">
        <v>14.423</v>
      </c>
      <c r="U18" s="686">
        <v>12.507</v>
      </c>
      <c r="V18" s="686">
        <v>11.124000000000001</v>
      </c>
      <c r="W18" s="686">
        <v>10.363</v>
      </c>
      <c r="X18" s="683">
        <v>13.188000000000001</v>
      </c>
      <c r="Y18" s="686">
        <v>7.5060000000000002</v>
      </c>
      <c r="Z18" s="687">
        <v>17.491</v>
      </c>
      <c r="AA18" s="684">
        <v>13.349</v>
      </c>
      <c r="AB18" s="687">
        <v>20.042000000000002</v>
      </c>
      <c r="AC18" s="686">
        <v>17.504000000000001</v>
      </c>
      <c r="AD18" s="686">
        <v>10.361000000000001</v>
      </c>
      <c r="AE18" s="687">
        <v>13.063000000000001</v>
      </c>
      <c r="AF18" s="686">
        <v>16.126000000000001</v>
      </c>
      <c r="AG18" s="686">
        <v>9.766</v>
      </c>
      <c r="AH18" s="686">
        <v>9.2230000000000008</v>
      </c>
      <c r="AI18" s="686">
        <v>12.848000000000001</v>
      </c>
      <c r="AJ18" s="686">
        <f>5.91+1.17</f>
        <v>7.08</v>
      </c>
      <c r="AK18" s="686">
        <f>19.66+3.127</f>
        <v>22.786999999999999</v>
      </c>
      <c r="AL18" s="685">
        <f>12.256+0.636</f>
        <v>12.891999999999999</v>
      </c>
      <c r="AM18" s="684">
        <v>15.731</v>
      </c>
      <c r="AN18" s="683">
        <v>19.273</v>
      </c>
      <c r="AO18" s="683">
        <f>12.731</f>
        <v>12.731</v>
      </c>
      <c r="AP18" s="683">
        <v>16.611000000000001</v>
      </c>
      <c r="AQ18" s="683">
        <v>12.887</v>
      </c>
      <c r="AR18" s="683">
        <v>10.528</v>
      </c>
      <c r="AS18" s="682">
        <v>9.9920000000000009</v>
      </c>
      <c r="AT18" s="682">
        <v>15.077999999999999</v>
      </c>
      <c r="AU18" s="682">
        <v>8.0559999999999992</v>
      </c>
      <c r="AV18" s="682">
        <v>20.047999999999998</v>
      </c>
      <c r="AW18" s="681">
        <v>21.065000000000001</v>
      </c>
      <c r="AX18" s="601">
        <f>18.298+0.446</f>
        <v>18.744</v>
      </c>
      <c r="AY18" s="493">
        <v>21.702000000000002</v>
      </c>
      <c r="AZ18" s="493">
        <v>18.100999999999999</v>
      </c>
      <c r="BA18" s="493">
        <v>16.126999999999999</v>
      </c>
      <c r="BB18" s="493">
        <f>10.175+0.192</f>
        <v>10.367000000000001</v>
      </c>
      <c r="BC18" s="493">
        <f>11.582+0.568</f>
        <v>12.15</v>
      </c>
      <c r="BD18" s="493">
        <v>17.46</v>
      </c>
      <c r="BE18" s="493">
        <v>17.613</v>
      </c>
      <c r="BF18" s="493">
        <v>18.307000000000002</v>
      </c>
      <c r="BG18" s="493">
        <f>8.159+0.642</f>
        <v>8.8010000000000002</v>
      </c>
      <c r="BH18" s="493">
        <f>17.129+1.173</f>
        <v>18.302</v>
      </c>
      <c r="BI18" s="493">
        <v>28.663</v>
      </c>
      <c r="BJ18" s="493">
        <v>20.274000000000001</v>
      </c>
      <c r="BK18" s="493">
        <v>17.131</v>
      </c>
      <c r="BL18" s="493">
        <v>13.180999999999999</v>
      </c>
      <c r="BM18" s="493">
        <v>19.623999999999999</v>
      </c>
      <c r="BN18" s="493">
        <v>20.2</v>
      </c>
      <c r="BO18" s="493">
        <v>11.882</v>
      </c>
      <c r="BP18" s="493">
        <v>11.19</v>
      </c>
      <c r="BQ18" s="493">
        <v>14.842000000000001</v>
      </c>
      <c r="BR18" s="493">
        <v>9.718</v>
      </c>
      <c r="BS18" s="493">
        <v>14.537000000000001</v>
      </c>
      <c r="BT18" s="493">
        <v>14.738</v>
      </c>
      <c r="BU18" s="493">
        <v>11.676</v>
      </c>
      <c r="BV18" s="493">
        <v>32.909999999999997</v>
      </c>
      <c r="BW18" s="493">
        <v>14.837</v>
      </c>
      <c r="BX18" s="493">
        <v>13.563000000000001</v>
      </c>
      <c r="BY18" s="493">
        <v>16.943999999999999</v>
      </c>
      <c r="BZ18" s="493">
        <v>12.436</v>
      </c>
      <c r="CA18" s="493">
        <v>14.874000000000001</v>
      </c>
      <c r="CB18" s="493">
        <v>14.491</v>
      </c>
      <c r="CC18" s="493">
        <v>15.417</v>
      </c>
      <c r="CD18" s="493">
        <v>11.505000000000001</v>
      </c>
      <c r="CE18" s="493">
        <v>13.393000000000001</v>
      </c>
      <c r="CF18" s="493">
        <v>16.285</v>
      </c>
      <c r="CG18" s="493">
        <v>20.484999999999999</v>
      </c>
      <c r="CH18" s="493">
        <v>13.545</v>
      </c>
      <c r="CI18" s="493">
        <v>1.944</v>
      </c>
      <c r="CJ18" s="493">
        <v>22.173999999999999</v>
      </c>
      <c r="CK18" s="493">
        <v>20.527999999999999</v>
      </c>
      <c r="CL18" s="493">
        <v>17.600000000000001</v>
      </c>
      <c r="CM18" s="493">
        <v>28.201000000000001</v>
      </c>
      <c r="CN18" s="493">
        <v>12.428000000000001</v>
      </c>
      <c r="CO18" s="493">
        <v>16.856999999999999</v>
      </c>
      <c r="CP18" s="493">
        <v>22.942</v>
      </c>
      <c r="CQ18" s="493">
        <v>16.797999999999998</v>
      </c>
      <c r="CR18" s="493">
        <v>15.04</v>
      </c>
      <c r="CS18" s="493">
        <v>17.777000000000001</v>
      </c>
      <c r="CT18" s="493">
        <v>25.25</v>
      </c>
      <c r="CU18" s="493">
        <v>11.98</v>
      </c>
      <c r="CV18" s="493">
        <v>20.3</v>
      </c>
      <c r="CW18" s="493">
        <v>18.216999999999999</v>
      </c>
      <c r="CX18" s="493">
        <v>23.279</v>
      </c>
      <c r="CY18" s="493">
        <v>13.507999999999999</v>
      </c>
      <c r="CZ18" s="493">
        <v>14.388</v>
      </c>
      <c r="DA18" s="493">
        <v>12.597</v>
      </c>
      <c r="DB18" s="493">
        <v>13.289</v>
      </c>
      <c r="DC18" s="493">
        <v>11.923999999999999</v>
      </c>
      <c r="DD18" s="493">
        <v>13.558999999999999</v>
      </c>
      <c r="DE18" s="493">
        <v>17.757999999999999</v>
      </c>
      <c r="DF18" s="493">
        <v>19.873999999999999</v>
      </c>
      <c r="DG18" s="493">
        <v>16.780999999999999</v>
      </c>
      <c r="DH18" s="493">
        <v>19.52</v>
      </c>
      <c r="DI18" s="493">
        <v>14.704000000000001</v>
      </c>
      <c r="DJ18" s="493">
        <v>16.585000000000001</v>
      </c>
      <c r="DK18" s="493">
        <f>SUM(CU18:CX18)</f>
        <v>73.775999999999996</v>
      </c>
      <c r="DL18" s="493">
        <f>SUM(DG18:DJ18)</f>
        <v>67.59</v>
      </c>
      <c r="DM18" s="493">
        <f>((DL18/DK18)-1)*100</f>
        <v>-8.3848405985686334</v>
      </c>
    </row>
    <row r="19" spans="1:118" s="693" customFormat="1" ht="80.099999999999994" customHeight="1">
      <c r="B19" s="745" t="s">
        <v>181</v>
      </c>
      <c r="C19" s="744">
        <f t="shared" ref="C19:AH19" si="4">C21+C22+C23</f>
        <v>5.1559999999999997</v>
      </c>
      <c r="D19" s="743">
        <f t="shared" si="4"/>
        <v>8.5679999999999996</v>
      </c>
      <c r="E19" s="743">
        <f t="shared" si="4"/>
        <v>22.755000000000003</v>
      </c>
      <c r="F19" s="743">
        <f t="shared" si="4"/>
        <v>20.073</v>
      </c>
      <c r="G19" s="743">
        <f t="shared" si="4"/>
        <v>19.989000000000001</v>
      </c>
      <c r="H19" s="742">
        <f t="shared" si="4"/>
        <v>20.387</v>
      </c>
      <c r="I19" s="715">
        <f t="shared" si="4"/>
        <v>24.276000000000003</v>
      </c>
      <c r="J19" s="717">
        <f t="shared" si="4"/>
        <v>20.746000000000002</v>
      </c>
      <c r="K19" s="717">
        <f t="shared" si="4"/>
        <v>14.972000000000001</v>
      </c>
      <c r="L19" s="717">
        <f t="shared" si="4"/>
        <v>24.362000000000002</v>
      </c>
      <c r="M19" s="717">
        <f t="shared" si="4"/>
        <v>30.187999999999999</v>
      </c>
      <c r="N19" s="716">
        <f t="shared" si="4"/>
        <v>22.988</v>
      </c>
      <c r="O19" s="720">
        <f t="shared" si="4"/>
        <v>15.026999999999999</v>
      </c>
      <c r="P19" s="717">
        <f t="shared" si="4"/>
        <v>24.972999999999999</v>
      </c>
      <c r="Q19" s="717">
        <f t="shared" si="4"/>
        <v>25.196999999999999</v>
      </c>
      <c r="R19" s="717">
        <f t="shared" si="4"/>
        <v>23.675000000000001</v>
      </c>
      <c r="S19" s="717">
        <f t="shared" si="4"/>
        <v>24.241</v>
      </c>
      <c r="T19" s="717">
        <f t="shared" si="4"/>
        <v>21.024999999999999</v>
      </c>
      <c r="U19" s="717">
        <f t="shared" si="4"/>
        <v>11.048</v>
      </c>
      <c r="V19" s="717">
        <f t="shared" si="4"/>
        <v>12.348000000000001</v>
      </c>
      <c r="W19" s="717">
        <f t="shared" si="4"/>
        <v>8.343</v>
      </c>
      <c r="X19" s="720">
        <f t="shared" si="4"/>
        <v>8.2620000000000005</v>
      </c>
      <c r="Y19" s="720">
        <f t="shared" si="4"/>
        <v>8.1920000000000002</v>
      </c>
      <c r="Z19" s="719">
        <f t="shared" si="4"/>
        <v>9.2850000000000001</v>
      </c>
      <c r="AA19" s="715">
        <f t="shared" si="4"/>
        <v>14.355999999999998</v>
      </c>
      <c r="AB19" s="719">
        <f t="shared" si="4"/>
        <v>19.913</v>
      </c>
      <c r="AC19" s="717">
        <f t="shared" si="4"/>
        <v>9.9459999999999997</v>
      </c>
      <c r="AD19" s="717">
        <f t="shared" si="4"/>
        <v>11.547000000000001</v>
      </c>
      <c r="AE19" s="718">
        <f t="shared" si="4"/>
        <v>7.1139999999999999</v>
      </c>
      <c r="AF19" s="717">
        <f t="shared" si="4"/>
        <v>3.149</v>
      </c>
      <c r="AG19" s="717">
        <f t="shared" si="4"/>
        <v>5.1340000000000003</v>
      </c>
      <c r="AH19" s="717">
        <f t="shared" si="4"/>
        <v>8.8650000000000002</v>
      </c>
      <c r="AI19" s="717">
        <f t="shared" ref="AI19:BN19" si="5">AI21+AI22+AI23</f>
        <v>8.5499999999999989</v>
      </c>
      <c r="AJ19" s="717">
        <f t="shared" si="5"/>
        <v>3.6320000000000001</v>
      </c>
      <c r="AK19" s="717">
        <f t="shared" si="5"/>
        <v>8.8550000000000004</v>
      </c>
      <c r="AL19" s="716">
        <f t="shared" si="5"/>
        <v>8.1929999999999996</v>
      </c>
      <c r="AM19" s="715">
        <f t="shared" si="5"/>
        <v>20.960999999999999</v>
      </c>
      <c r="AN19" s="720">
        <f t="shared" si="5"/>
        <v>24.315999999999999</v>
      </c>
      <c r="AO19" s="720">
        <f t="shared" si="5"/>
        <v>17.706000000000003</v>
      </c>
      <c r="AP19" s="720">
        <f t="shared" si="5"/>
        <v>5.391</v>
      </c>
      <c r="AQ19" s="720">
        <f t="shared" si="5"/>
        <v>10.504999999999999</v>
      </c>
      <c r="AR19" s="720">
        <f t="shared" si="5"/>
        <v>15.013400000000001</v>
      </c>
      <c r="AS19" s="741">
        <f t="shared" si="5"/>
        <v>4.8040000000000003</v>
      </c>
      <c r="AT19" s="741">
        <f t="shared" si="5"/>
        <v>8.8689999999999998</v>
      </c>
      <c r="AU19" s="741">
        <f t="shared" si="5"/>
        <v>6.6240000000000006</v>
      </c>
      <c r="AV19" s="741">
        <f t="shared" si="5"/>
        <v>8.4650000000000016</v>
      </c>
      <c r="AW19" s="713">
        <f t="shared" si="5"/>
        <v>5.3680000000000003</v>
      </c>
      <c r="AX19" s="712">
        <f t="shared" si="5"/>
        <v>7.3314999999999992</v>
      </c>
      <c r="AY19" s="711">
        <f t="shared" si="5"/>
        <v>23.689</v>
      </c>
      <c r="AZ19" s="711">
        <f t="shared" si="5"/>
        <v>6.3630000000000004</v>
      </c>
      <c r="BA19" s="711">
        <f t="shared" si="5"/>
        <v>18.266999999999999</v>
      </c>
      <c r="BB19" s="711">
        <f t="shared" si="5"/>
        <v>18.296384000000003</v>
      </c>
      <c r="BC19" s="711">
        <f t="shared" si="5"/>
        <v>19.515000000000001</v>
      </c>
      <c r="BD19" s="711">
        <f t="shared" si="5"/>
        <v>15.468999999999999</v>
      </c>
      <c r="BE19" s="711">
        <f t="shared" si="5"/>
        <v>13</v>
      </c>
      <c r="BF19" s="711">
        <f t="shared" si="5"/>
        <v>6.7620000000000005</v>
      </c>
      <c r="BG19" s="711">
        <f t="shared" si="5"/>
        <v>17.826999999999998</v>
      </c>
      <c r="BH19" s="711">
        <f t="shared" si="5"/>
        <v>16.602</v>
      </c>
      <c r="BI19" s="711">
        <f t="shared" si="5"/>
        <v>15.515000000000001</v>
      </c>
      <c r="BJ19" s="711">
        <f t="shared" si="5"/>
        <v>6.0589999999999993</v>
      </c>
      <c r="BK19" s="711">
        <f t="shared" si="5"/>
        <v>11.047000000000001</v>
      </c>
      <c r="BL19" s="711">
        <f t="shared" si="5"/>
        <v>21.569000000000003</v>
      </c>
      <c r="BM19" s="711">
        <f t="shared" si="5"/>
        <v>20.594999999999999</v>
      </c>
      <c r="BN19" s="711">
        <f t="shared" si="5"/>
        <v>14.052999999999999</v>
      </c>
      <c r="BO19" s="711">
        <f t="shared" ref="BO19:CT19" si="6">BO21+BO22+BO23</f>
        <v>22.791</v>
      </c>
      <c r="BP19" s="711">
        <f t="shared" si="6"/>
        <v>16.023</v>
      </c>
      <c r="BQ19" s="711">
        <f t="shared" si="6"/>
        <v>15.714600000000001</v>
      </c>
      <c r="BR19" s="711">
        <f t="shared" si="6"/>
        <v>7.3660000000000005</v>
      </c>
      <c r="BS19" s="711">
        <f t="shared" si="6"/>
        <v>9.2809999999999988</v>
      </c>
      <c r="BT19" s="711">
        <f t="shared" si="6"/>
        <v>9.4719999999999995</v>
      </c>
      <c r="BU19" s="711">
        <f t="shared" si="6"/>
        <v>5.9930000000000003</v>
      </c>
      <c r="BV19" s="711">
        <f t="shared" si="6"/>
        <v>10.286999999999999</v>
      </c>
      <c r="BW19" s="711">
        <f t="shared" si="6"/>
        <v>1.6869999999999998</v>
      </c>
      <c r="BX19" s="711">
        <f t="shared" si="6"/>
        <v>2.7652760000000001</v>
      </c>
      <c r="BY19" s="711">
        <f t="shared" si="6"/>
        <v>10.557</v>
      </c>
      <c r="BZ19" s="711">
        <f t="shared" si="6"/>
        <v>9.9535720000000012</v>
      </c>
      <c r="CA19" s="711">
        <f t="shared" si="6"/>
        <v>4.5154080000000008</v>
      </c>
      <c r="CB19" s="711">
        <f t="shared" si="6"/>
        <v>2.7069999999999999</v>
      </c>
      <c r="CC19" s="711">
        <f t="shared" si="6"/>
        <v>1.649</v>
      </c>
      <c r="CD19" s="711">
        <f t="shared" si="6"/>
        <v>2.3820000000000001</v>
      </c>
      <c r="CE19" s="711">
        <f t="shared" si="6"/>
        <v>4.952</v>
      </c>
      <c r="CF19" s="711">
        <f t="shared" si="6"/>
        <v>2.548</v>
      </c>
      <c r="CG19" s="711">
        <f t="shared" si="6"/>
        <v>1.8069999999999999</v>
      </c>
      <c r="CH19" s="711">
        <f t="shared" si="6"/>
        <v>2.2869999999999999</v>
      </c>
      <c r="CI19" s="711">
        <f t="shared" si="6"/>
        <v>7.1130000000000004</v>
      </c>
      <c r="CJ19" s="711">
        <f t="shared" si="6"/>
        <v>13.327556</v>
      </c>
      <c r="CK19" s="711">
        <f t="shared" si="6"/>
        <v>4.0483349999999998</v>
      </c>
      <c r="CL19" s="711">
        <f t="shared" si="6"/>
        <v>7.142256999999999</v>
      </c>
      <c r="CM19" s="711">
        <f t="shared" si="6"/>
        <v>9.1532990000000005</v>
      </c>
      <c r="CN19" s="711">
        <f t="shared" si="6"/>
        <v>1.491684</v>
      </c>
      <c r="CO19" s="711">
        <f t="shared" si="6"/>
        <v>1.528</v>
      </c>
      <c r="CP19" s="711">
        <f t="shared" si="6"/>
        <v>5.46</v>
      </c>
      <c r="CQ19" s="711">
        <f t="shared" si="6"/>
        <v>7.6439710000000005</v>
      </c>
      <c r="CR19" s="711">
        <f t="shared" si="6"/>
        <v>0.16292399999999999</v>
      </c>
      <c r="CS19" s="711">
        <f t="shared" si="6"/>
        <v>0.33613900000000002</v>
      </c>
      <c r="CT19" s="711">
        <f t="shared" si="6"/>
        <v>0.59253</v>
      </c>
      <c r="CU19" s="711">
        <f t="shared" ref="CU19:DL19" si="7">CU21+CU22+CU23</f>
        <v>0</v>
      </c>
      <c r="CV19" s="711">
        <f t="shared" si="7"/>
        <v>3.7165939999999997</v>
      </c>
      <c r="CW19" s="711">
        <f t="shared" si="7"/>
        <v>3.6909999999999998</v>
      </c>
      <c r="CX19" s="711">
        <f t="shared" si="7"/>
        <v>3.8222860000000001</v>
      </c>
      <c r="CY19" s="711">
        <f t="shared" si="7"/>
        <v>7.4975149999999999</v>
      </c>
      <c r="CZ19" s="711">
        <f t="shared" si="7"/>
        <v>10.172117999999999</v>
      </c>
      <c r="DA19" s="711">
        <f t="shared" si="7"/>
        <v>6.3777795000000008</v>
      </c>
      <c r="DB19" s="711">
        <f t="shared" si="7"/>
        <v>6.5067389999999996</v>
      </c>
      <c r="DC19" s="711">
        <f t="shared" si="7"/>
        <v>7.0389999999999997</v>
      </c>
      <c r="DD19" s="711">
        <f t="shared" si="7"/>
        <v>7.8906768999999999</v>
      </c>
      <c r="DE19" s="711">
        <f t="shared" si="7"/>
        <v>9.813745355</v>
      </c>
      <c r="DF19" s="711">
        <f t="shared" si="7"/>
        <v>13.888</v>
      </c>
      <c r="DG19" s="711">
        <f t="shared" si="7"/>
        <v>11.033999999999999</v>
      </c>
      <c r="DH19" s="711">
        <f t="shared" si="7"/>
        <v>3.7619999999999996</v>
      </c>
      <c r="DI19" s="711">
        <f t="shared" si="7"/>
        <v>0.96499999999999997</v>
      </c>
      <c r="DJ19" s="711">
        <f t="shared" si="7"/>
        <v>1.8029999999999999</v>
      </c>
      <c r="DK19" s="711">
        <f t="shared" si="7"/>
        <v>11.229880000000001</v>
      </c>
      <c r="DL19" s="711">
        <f t="shared" si="7"/>
        <v>17.564</v>
      </c>
      <c r="DM19" s="493">
        <f>((DL19/DK19)-1)*100</f>
        <v>56.404164603717909</v>
      </c>
      <c r="DN19" s="561"/>
    </row>
    <row r="20" spans="1:118" s="693" customFormat="1" ht="80.099999999999994" customHeight="1" thickBot="1">
      <c r="B20" s="740" t="s">
        <v>180</v>
      </c>
      <c r="C20" s="739"/>
      <c r="D20" s="737"/>
      <c r="E20" s="738"/>
      <c r="F20" s="738"/>
      <c r="G20" s="737"/>
      <c r="H20" s="736"/>
      <c r="I20" s="700"/>
      <c r="J20" s="702"/>
      <c r="K20" s="702"/>
      <c r="L20" s="702"/>
      <c r="M20" s="702"/>
      <c r="N20" s="735"/>
      <c r="O20" s="699"/>
      <c r="P20" s="702"/>
      <c r="Q20" s="702"/>
      <c r="R20" s="702"/>
      <c r="S20" s="702"/>
      <c r="T20" s="702"/>
      <c r="U20" s="702"/>
      <c r="V20" s="702"/>
      <c r="W20" s="702"/>
      <c r="X20" s="699"/>
      <c r="Y20" s="702"/>
      <c r="Z20" s="703"/>
      <c r="AA20" s="700"/>
      <c r="AB20" s="703"/>
      <c r="AC20" s="702"/>
      <c r="AD20" s="702"/>
      <c r="AE20" s="703"/>
      <c r="AF20" s="702"/>
      <c r="AG20" s="702"/>
      <c r="AH20" s="702"/>
      <c r="AI20" s="702"/>
      <c r="AJ20" s="702"/>
      <c r="AK20" s="702"/>
      <c r="AL20" s="701"/>
      <c r="AM20" s="700"/>
      <c r="AN20" s="699"/>
      <c r="AO20" s="699"/>
      <c r="AP20" s="699"/>
      <c r="AQ20" s="699"/>
      <c r="AR20" s="699"/>
      <c r="AS20" s="698"/>
      <c r="AT20" s="734"/>
      <c r="AU20" s="734"/>
      <c r="AV20" s="734"/>
      <c r="AW20" s="697"/>
      <c r="AX20" s="696"/>
      <c r="AY20" s="695"/>
      <c r="AZ20" s="695"/>
      <c r="BA20" s="695"/>
      <c r="BB20" s="695"/>
      <c r="BC20" s="695"/>
      <c r="BD20" s="695"/>
      <c r="BE20" s="695"/>
      <c r="BF20" s="695"/>
      <c r="BG20" s="695"/>
      <c r="BH20" s="695"/>
      <c r="BI20" s="695"/>
      <c r="BJ20" s="695"/>
      <c r="BK20" s="695"/>
      <c r="BL20" s="695"/>
      <c r="BM20" s="695"/>
      <c r="BN20" s="695"/>
      <c r="BO20" s="695"/>
      <c r="BP20" s="695"/>
      <c r="BQ20" s="695"/>
      <c r="BR20" s="695"/>
      <c r="BS20" s="695"/>
      <c r="BT20" s="695"/>
      <c r="BU20" s="695"/>
      <c r="BV20" s="695"/>
      <c r="BW20" s="695"/>
      <c r="BX20" s="694"/>
      <c r="BY20" s="694"/>
      <c r="BZ20" s="694"/>
      <c r="CA20" s="694"/>
      <c r="CB20" s="694"/>
      <c r="CC20" s="694"/>
      <c r="CD20" s="694"/>
      <c r="CE20" s="694"/>
      <c r="CF20" s="694"/>
      <c r="CG20" s="694"/>
      <c r="CH20" s="694"/>
      <c r="CI20" s="694"/>
      <c r="CJ20" s="694"/>
      <c r="CK20" s="694"/>
      <c r="CL20" s="694"/>
      <c r="CM20" s="694"/>
      <c r="CN20" s="694"/>
      <c r="CO20" s="694"/>
      <c r="CP20" s="694"/>
      <c r="CQ20" s="694"/>
      <c r="CR20" s="694"/>
      <c r="CS20" s="694"/>
      <c r="CT20" s="694"/>
      <c r="CU20" s="694"/>
      <c r="CV20" s="694"/>
      <c r="CW20" s="694"/>
      <c r="CX20" s="694"/>
      <c r="CY20" s="694"/>
      <c r="CZ20" s="694"/>
      <c r="DA20" s="694"/>
      <c r="DB20" s="694"/>
      <c r="DC20" s="694"/>
      <c r="DD20" s="694"/>
      <c r="DE20" s="694"/>
      <c r="DF20" s="694"/>
      <c r="DG20" s="694"/>
      <c r="DH20" s="694"/>
      <c r="DI20" s="694"/>
      <c r="DJ20" s="694"/>
      <c r="DK20" s="694"/>
      <c r="DL20" s="694"/>
      <c r="DM20" s="694"/>
      <c r="DN20" s="561"/>
    </row>
    <row r="21" spans="1:118" ht="80.099999999999994" customHeight="1">
      <c r="A21" s="725">
        <v>76</v>
      </c>
      <c r="B21" s="733" t="s">
        <v>179</v>
      </c>
      <c r="C21" s="691">
        <v>0</v>
      </c>
      <c r="D21" s="690">
        <v>1.2070000000000001</v>
      </c>
      <c r="E21" s="691">
        <v>6.8120000000000003</v>
      </c>
      <c r="F21" s="690">
        <v>5.0090000000000003</v>
      </c>
      <c r="G21" s="723">
        <v>6.0439999999999996</v>
      </c>
      <c r="H21" s="689">
        <v>7.0759999999999996</v>
      </c>
      <c r="I21" s="728">
        <v>6.41</v>
      </c>
      <c r="J21" s="730">
        <v>5.1210000000000004</v>
      </c>
      <c r="K21" s="730">
        <v>2.996</v>
      </c>
      <c r="L21" s="730">
        <v>7.5410000000000004</v>
      </c>
      <c r="M21" s="730">
        <v>9.1530000000000005</v>
      </c>
      <c r="N21" s="732">
        <v>6.133</v>
      </c>
      <c r="O21" s="727">
        <v>4.2389999999999999</v>
      </c>
      <c r="P21" s="730">
        <v>6.6520000000000001</v>
      </c>
      <c r="Q21" s="730">
        <v>7.399</v>
      </c>
      <c r="R21" s="730">
        <v>8.6969999999999992</v>
      </c>
      <c r="S21" s="730">
        <v>8.1560000000000006</v>
      </c>
      <c r="T21" s="730">
        <v>7.6840000000000002</v>
      </c>
      <c r="U21" s="730">
        <v>2.5000000000000001E-2</v>
      </c>
      <c r="V21" s="730">
        <v>2.077</v>
      </c>
      <c r="W21" s="730">
        <v>0</v>
      </c>
      <c r="X21" s="727">
        <v>0</v>
      </c>
      <c r="Y21" s="730">
        <v>0</v>
      </c>
      <c r="Z21" s="731">
        <v>0</v>
      </c>
      <c r="AA21" s="728">
        <v>3.585</v>
      </c>
      <c r="AB21" s="731">
        <v>4.7270000000000003</v>
      </c>
      <c r="AC21" s="730">
        <v>0.33200000000000002</v>
      </c>
      <c r="AD21" s="730">
        <v>2.915</v>
      </c>
      <c r="AE21" s="731">
        <v>0</v>
      </c>
      <c r="AF21" s="730">
        <v>0</v>
      </c>
      <c r="AG21" s="730">
        <v>0</v>
      </c>
      <c r="AH21" s="730">
        <v>0.73599999999999999</v>
      </c>
      <c r="AI21" s="730">
        <v>1.119</v>
      </c>
      <c r="AJ21" s="730">
        <v>0</v>
      </c>
      <c r="AK21" s="730">
        <v>0</v>
      </c>
      <c r="AL21" s="729">
        <v>0</v>
      </c>
      <c r="AM21" s="728">
        <v>7.1790000000000003</v>
      </c>
      <c r="AN21" s="727">
        <v>8.1549999999999994</v>
      </c>
      <c r="AO21" s="727">
        <v>4.9829999999999997</v>
      </c>
      <c r="AP21" s="727">
        <v>0</v>
      </c>
      <c r="AQ21" s="727">
        <v>1.7529999999999999</v>
      </c>
      <c r="AR21" s="727">
        <v>3.7069999999999999</v>
      </c>
      <c r="AS21" s="726">
        <v>0.13700000000000001</v>
      </c>
      <c r="AT21" s="682">
        <v>2.0019999999999998</v>
      </c>
      <c r="AU21" s="682">
        <v>1.113</v>
      </c>
      <c r="AV21" s="682">
        <v>0</v>
      </c>
      <c r="AW21" s="681">
        <v>0</v>
      </c>
      <c r="AX21" s="601">
        <f>AVERAGE(AT21:AW21)</f>
        <v>0.77874999999999994</v>
      </c>
      <c r="AY21" s="493">
        <v>9.49</v>
      </c>
      <c r="AZ21" s="493">
        <v>1.9570000000000001</v>
      </c>
      <c r="BA21" s="493">
        <v>5.8949999999999996</v>
      </c>
      <c r="BB21" s="493">
        <v>6.1710000000000003</v>
      </c>
      <c r="BC21" s="493">
        <v>7.1520000000000001</v>
      </c>
      <c r="BD21" s="493">
        <v>4.7279999999999998</v>
      </c>
      <c r="BE21" s="493">
        <v>4.3600000000000003</v>
      </c>
      <c r="BF21" s="493">
        <v>2.5299999999999998</v>
      </c>
      <c r="BG21" s="493">
        <v>3.8759999999999999</v>
      </c>
      <c r="BH21" s="493">
        <v>4.6710000000000003</v>
      </c>
      <c r="BI21" s="493">
        <v>1.9219999999999999</v>
      </c>
      <c r="BJ21" s="493">
        <v>7.0000000000000007E-2</v>
      </c>
      <c r="BK21" s="493">
        <v>3.4009999999999998</v>
      </c>
      <c r="BL21" s="493">
        <v>7.891</v>
      </c>
      <c r="BM21" s="493">
        <v>7.6310000000000002</v>
      </c>
      <c r="BN21" s="493">
        <v>7.4059999999999997</v>
      </c>
      <c r="BO21" s="493">
        <v>6.3860000000000001</v>
      </c>
      <c r="BP21" s="493">
        <v>5.5430000000000001</v>
      </c>
      <c r="BQ21" s="493">
        <v>6.14</v>
      </c>
      <c r="BR21" s="493">
        <v>3.0779999999999998</v>
      </c>
      <c r="BS21" s="493">
        <v>2.1859999999999999</v>
      </c>
      <c r="BT21" s="493">
        <v>1.1080000000000001</v>
      </c>
      <c r="BU21" s="493">
        <v>2.0950000000000002</v>
      </c>
      <c r="BV21" s="493">
        <v>1.696</v>
      </c>
      <c r="BW21" s="493">
        <v>0</v>
      </c>
      <c r="BX21" s="493">
        <v>0</v>
      </c>
      <c r="BY21" s="493">
        <v>3.3140000000000001</v>
      </c>
      <c r="BZ21" s="493">
        <v>3.2661190000000002</v>
      </c>
      <c r="CA21" s="493">
        <v>0.49577900000000003</v>
      </c>
      <c r="CB21" s="493">
        <v>0</v>
      </c>
      <c r="CC21" s="493">
        <v>0</v>
      </c>
      <c r="CD21" s="493">
        <v>0</v>
      </c>
      <c r="CE21" s="493">
        <v>0.63700000000000001</v>
      </c>
      <c r="CF21" s="493">
        <v>0</v>
      </c>
      <c r="CG21" s="493">
        <v>0</v>
      </c>
      <c r="CH21" s="493">
        <v>0</v>
      </c>
      <c r="CI21" s="493">
        <v>2.1019999999999999</v>
      </c>
      <c r="CJ21" s="493">
        <v>5.2141609999999998</v>
      </c>
      <c r="CK21" s="493">
        <v>1.3979889999999999</v>
      </c>
      <c r="CL21" s="493">
        <v>1.7355659999999999</v>
      </c>
      <c r="CM21" s="493">
        <v>3.0968040000000001</v>
      </c>
      <c r="CN21" s="493">
        <v>0</v>
      </c>
      <c r="CO21" s="493">
        <v>0</v>
      </c>
      <c r="CP21" s="493">
        <v>2.157</v>
      </c>
      <c r="CQ21" s="493">
        <v>3.3815330000000001</v>
      </c>
      <c r="CR21" s="493">
        <v>0</v>
      </c>
      <c r="CS21" s="493">
        <v>0</v>
      </c>
      <c r="CT21" s="493">
        <v>0</v>
      </c>
      <c r="CU21" s="493">
        <v>0</v>
      </c>
      <c r="CV21" s="493">
        <v>1.9565939999999999</v>
      </c>
      <c r="CW21" s="493">
        <v>1.613</v>
      </c>
      <c r="CX21" s="493">
        <v>1.6446670000000001</v>
      </c>
      <c r="CY21" s="493">
        <v>3.224615</v>
      </c>
      <c r="CZ21" s="493">
        <v>4.2365849999999998</v>
      </c>
      <c r="DA21" s="493">
        <v>2.0738509999999999</v>
      </c>
      <c r="DB21" s="493">
        <v>3.0400559999999999</v>
      </c>
      <c r="DC21" s="493">
        <v>3.0859999999999999</v>
      </c>
      <c r="DD21" s="493">
        <v>3.5496840000000001</v>
      </c>
      <c r="DE21" s="493">
        <v>4.2441649999999997</v>
      </c>
      <c r="DF21" s="493">
        <v>4.1859999999999999</v>
      </c>
      <c r="DG21" s="493">
        <v>3.871</v>
      </c>
      <c r="DH21" s="493">
        <v>1.841</v>
      </c>
      <c r="DI21" s="493">
        <v>0</v>
      </c>
      <c r="DJ21" s="493">
        <v>0.71299999999999997</v>
      </c>
      <c r="DK21" s="493">
        <f>SUM(CU21:CX21)</f>
        <v>5.2142610000000005</v>
      </c>
      <c r="DL21" s="493">
        <f>SUM(DG21:DJ21)</f>
        <v>6.4249999999999998</v>
      </c>
      <c r="DM21" s="493">
        <f>((DL21/DK21)-1)*100</f>
        <v>23.219762110105325</v>
      </c>
    </row>
    <row r="22" spans="1:118" ht="80.099999999999994" customHeight="1">
      <c r="A22" s="725">
        <v>77</v>
      </c>
      <c r="B22" s="724" t="s">
        <v>178</v>
      </c>
      <c r="C22" s="691">
        <v>5.1559999999999997</v>
      </c>
      <c r="D22" s="690">
        <v>6.0190000000000001</v>
      </c>
      <c r="E22" s="691">
        <v>7.4249999999999998</v>
      </c>
      <c r="F22" s="690">
        <v>9.3010000000000002</v>
      </c>
      <c r="G22" s="723">
        <v>8.3460000000000001</v>
      </c>
      <c r="H22" s="689">
        <v>9.8230000000000004</v>
      </c>
      <c r="I22" s="684">
        <v>6.7069999999999999</v>
      </c>
      <c r="J22" s="686">
        <v>7.7380000000000004</v>
      </c>
      <c r="K22" s="686">
        <v>7.1820000000000004</v>
      </c>
      <c r="L22" s="686">
        <v>8.1850000000000005</v>
      </c>
      <c r="M22" s="686">
        <v>9.9949999999999992</v>
      </c>
      <c r="N22" s="688">
        <v>8.859</v>
      </c>
      <c r="O22" s="683">
        <v>5.3579999999999997</v>
      </c>
      <c r="P22" s="686">
        <v>12.13</v>
      </c>
      <c r="Q22" s="686">
        <f>8.998+0.16</f>
        <v>9.1579999999999995</v>
      </c>
      <c r="R22" s="686">
        <f>3.673+0.345</f>
        <v>4.0179999999999998</v>
      </c>
      <c r="S22" s="686">
        <v>6.8239999999999998</v>
      </c>
      <c r="T22" s="686">
        <f>3.306+0.185</f>
        <v>3.4910000000000001</v>
      </c>
      <c r="U22" s="686">
        <v>9.359</v>
      </c>
      <c r="V22" s="686">
        <f>8.766+0.101</f>
        <v>8.8670000000000009</v>
      </c>
      <c r="W22" s="686">
        <v>7.5819999999999999</v>
      </c>
      <c r="X22" s="683">
        <f>7.767+0.201</f>
        <v>7.968</v>
      </c>
      <c r="Y22" s="686">
        <v>8.1920000000000002</v>
      </c>
      <c r="Z22" s="687">
        <v>9.2850000000000001</v>
      </c>
      <c r="AA22" s="684">
        <f>8.581+0.144</f>
        <v>8.7249999999999996</v>
      </c>
      <c r="AB22" s="687">
        <f>8.462+0</f>
        <v>8.4619999999999997</v>
      </c>
      <c r="AC22" s="686">
        <f>7.533+0.189</f>
        <v>7.7220000000000004</v>
      </c>
      <c r="AD22" s="686">
        <v>4.367</v>
      </c>
      <c r="AE22" s="687">
        <v>6.9219999999999997</v>
      </c>
      <c r="AF22" s="686">
        <v>3.0750000000000002</v>
      </c>
      <c r="AG22" s="686">
        <v>5.1340000000000003</v>
      </c>
      <c r="AH22" s="686">
        <v>7.2350000000000003</v>
      </c>
      <c r="AI22" s="686">
        <v>5.97</v>
      </c>
      <c r="AJ22" s="686">
        <v>3.6320000000000001</v>
      </c>
      <c r="AK22" s="686">
        <v>8.8550000000000004</v>
      </c>
      <c r="AL22" s="685">
        <v>8.1929999999999996</v>
      </c>
      <c r="AM22" s="684">
        <v>6.782</v>
      </c>
      <c r="AN22" s="683">
        <f>7.547+0</f>
        <v>7.5469999999999997</v>
      </c>
      <c r="AO22" s="683">
        <f>5.793+0.187</f>
        <v>5.98</v>
      </c>
      <c r="AP22" s="683">
        <f>5.391+0</f>
        <v>5.391</v>
      </c>
      <c r="AQ22" s="683">
        <f>6.429+0.143</f>
        <v>6.5720000000000001</v>
      </c>
      <c r="AR22" s="683">
        <f>5.683+0</f>
        <v>5.6829999999999998</v>
      </c>
      <c r="AS22" s="682">
        <f>4.603+0</f>
        <v>4.6029999999999998</v>
      </c>
      <c r="AT22" s="682">
        <f>4.582+0.281</f>
        <v>4.8629999999999995</v>
      </c>
      <c r="AU22" s="682">
        <f>4.434+0</f>
        <v>4.4340000000000002</v>
      </c>
      <c r="AV22" s="682">
        <v>8.2710000000000008</v>
      </c>
      <c r="AW22" s="681">
        <f>5.368+0</f>
        <v>5.3680000000000003</v>
      </c>
      <c r="AX22" s="601">
        <f>AVERAGE(AT22:AW22)</f>
        <v>5.734</v>
      </c>
      <c r="AY22" s="493">
        <f>3.548+0.918</f>
        <v>4.4660000000000002</v>
      </c>
      <c r="AZ22" s="493">
        <v>2.339</v>
      </c>
      <c r="BA22" s="493">
        <f>4.963+0.519</f>
        <v>5.4820000000000002</v>
      </c>
      <c r="BB22" s="493">
        <f>2.419+0.368974</f>
        <v>2.7879740000000002</v>
      </c>
      <c r="BC22" s="493">
        <v>3.9780000000000002</v>
      </c>
      <c r="BD22" s="493">
        <f>4.094+0.471</f>
        <v>4.5650000000000004</v>
      </c>
      <c r="BE22" s="493">
        <f>4.492+1.263</f>
        <v>5.7549999999999999</v>
      </c>
      <c r="BF22" s="493">
        <f>3.177+1.055</f>
        <v>4.2320000000000002</v>
      </c>
      <c r="BG22" s="493">
        <v>4.1020000000000003</v>
      </c>
      <c r="BH22" s="493">
        <f>8.772+0.097</f>
        <v>8.8689999999999998</v>
      </c>
      <c r="BI22" s="493">
        <f>6.519+0</f>
        <v>6.5190000000000001</v>
      </c>
      <c r="BJ22" s="493">
        <v>3.9849999999999999</v>
      </c>
      <c r="BK22" s="493">
        <v>4.109</v>
      </c>
      <c r="BL22" s="493">
        <f>3.044+0.289</f>
        <v>3.3330000000000002</v>
      </c>
      <c r="BM22" s="493">
        <f>2.559+0.48</f>
        <v>3.0390000000000001</v>
      </c>
      <c r="BN22" s="493">
        <v>3.8719999999999999</v>
      </c>
      <c r="BO22" s="493">
        <f>0.842+0.808</f>
        <v>1.65</v>
      </c>
      <c r="BP22" s="493">
        <v>4.1080000000000005</v>
      </c>
      <c r="BQ22" s="493">
        <f>0.0046+1.594</f>
        <v>1.5986</v>
      </c>
      <c r="BR22" s="493">
        <f>2.591+0.42</f>
        <v>3.0110000000000001</v>
      </c>
      <c r="BS22" s="493">
        <f>1.89+0.222</f>
        <v>2.1120000000000001</v>
      </c>
      <c r="BT22" s="493">
        <v>5.3739999999999997</v>
      </c>
      <c r="BU22" s="493">
        <v>1.9E-2</v>
      </c>
      <c r="BV22" s="493">
        <v>3.5010000000000003</v>
      </c>
      <c r="BW22" s="493">
        <f>1.176+0.511</f>
        <v>1.6869999999999998</v>
      </c>
      <c r="BX22" s="493">
        <v>2.7652760000000001</v>
      </c>
      <c r="BY22" s="493">
        <f>2.642+0.457</f>
        <v>3.0989999999999998</v>
      </c>
      <c r="BZ22" s="493">
        <f>2.343503+0</f>
        <v>2.3435030000000001</v>
      </c>
      <c r="CA22" s="493">
        <f>2.800905+0</f>
        <v>2.8009050000000002</v>
      </c>
      <c r="CB22" s="493">
        <v>1.502</v>
      </c>
      <c r="CC22" s="493">
        <v>1.649</v>
      </c>
      <c r="CD22" s="493">
        <f>2.314+0.068</f>
        <v>2.3820000000000001</v>
      </c>
      <c r="CE22" s="493">
        <v>3.2440000000000002</v>
      </c>
      <c r="CF22" s="493">
        <v>2.548</v>
      </c>
      <c r="CG22" s="493">
        <v>1.8069999999999999</v>
      </c>
      <c r="CH22" s="493">
        <v>2.2869999999999999</v>
      </c>
      <c r="CI22" s="493">
        <f>3.17+0</f>
        <v>3.17</v>
      </c>
      <c r="CJ22" s="493">
        <v>1.7024949999999999</v>
      </c>
      <c r="CK22" s="493">
        <v>0.86607599999999996</v>
      </c>
      <c r="CL22" s="493">
        <v>2.5450010000000001</v>
      </c>
      <c r="CM22" s="493">
        <v>2.2716150000000002</v>
      </c>
      <c r="CN22" s="493">
        <v>1.491684</v>
      </c>
      <c r="CO22" s="493">
        <v>1.528</v>
      </c>
      <c r="CP22" s="493">
        <v>1.081</v>
      </c>
      <c r="CQ22" s="493">
        <v>0.318938</v>
      </c>
      <c r="CR22" s="493">
        <f>0.04402+0.118904</f>
        <v>0.16292399999999999</v>
      </c>
      <c r="CS22" s="493">
        <v>0.33613900000000002</v>
      </c>
      <c r="CT22" s="493">
        <v>0.37334499999999998</v>
      </c>
      <c r="CU22" s="493">
        <v>0</v>
      </c>
      <c r="CV22" s="493">
        <v>0</v>
      </c>
      <c r="CW22" s="493">
        <v>0</v>
      </c>
      <c r="CX22" s="493">
        <v>0</v>
      </c>
      <c r="CY22" s="493">
        <v>0.82282</v>
      </c>
      <c r="CZ22" s="493">
        <v>0.70220300000000002</v>
      </c>
      <c r="DA22" s="493">
        <v>1.3485685000000001</v>
      </c>
      <c r="DB22" s="493">
        <v>7.9393000000000005E-2</v>
      </c>
      <c r="DC22" s="493">
        <v>0.69199999999999995</v>
      </c>
      <c r="DD22" s="493">
        <v>0</v>
      </c>
      <c r="DE22" s="493">
        <v>0</v>
      </c>
      <c r="DF22" s="493">
        <v>3.222</v>
      </c>
      <c r="DG22" s="493">
        <v>0.79400000000000004</v>
      </c>
      <c r="DH22" s="493">
        <v>0.379</v>
      </c>
      <c r="DI22" s="493">
        <v>0.94599999999999995</v>
      </c>
      <c r="DJ22" s="493">
        <v>0.53300000000000003</v>
      </c>
      <c r="DK22" s="493">
        <f>SUM(CU22:CX22)</f>
        <v>0</v>
      </c>
      <c r="DL22" s="493">
        <f>SUM(DG22:DJ22)</f>
        <v>2.6519999999999997</v>
      </c>
      <c r="DM22" s="493" t="s">
        <v>130</v>
      </c>
    </row>
    <row r="23" spans="1:118" ht="80.099999999999994" customHeight="1" thickBot="1">
      <c r="A23" s="725">
        <v>78</v>
      </c>
      <c r="B23" s="724" t="s">
        <v>177</v>
      </c>
      <c r="C23" s="691">
        <v>0</v>
      </c>
      <c r="D23" s="690">
        <v>1.3420000000000001</v>
      </c>
      <c r="E23" s="691">
        <v>8.5180000000000007</v>
      </c>
      <c r="F23" s="690">
        <v>5.7629999999999999</v>
      </c>
      <c r="G23" s="723">
        <v>5.5990000000000002</v>
      </c>
      <c r="H23" s="689">
        <v>3.488</v>
      </c>
      <c r="I23" s="684">
        <v>11.159000000000001</v>
      </c>
      <c r="J23" s="686">
        <v>7.8869999999999996</v>
      </c>
      <c r="K23" s="686">
        <v>4.7939999999999996</v>
      </c>
      <c r="L23" s="686">
        <v>8.6359999999999992</v>
      </c>
      <c r="M23" s="686">
        <v>11.04</v>
      </c>
      <c r="N23" s="688">
        <v>7.9960000000000004</v>
      </c>
      <c r="O23" s="683">
        <v>5.43</v>
      </c>
      <c r="P23" s="686">
        <v>6.1909999999999998</v>
      </c>
      <c r="Q23" s="686">
        <v>8.64</v>
      </c>
      <c r="R23" s="686">
        <v>10.96</v>
      </c>
      <c r="S23" s="686">
        <v>9.2609999999999992</v>
      </c>
      <c r="T23" s="686">
        <v>9.85</v>
      </c>
      <c r="U23" s="686">
        <v>1.6639999999999999</v>
      </c>
      <c r="V23" s="686">
        <v>1.4039999999999999</v>
      </c>
      <c r="W23" s="686">
        <v>0.76100000000000001</v>
      </c>
      <c r="X23" s="683">
        <v>0.29399999999999998</v>
      </c>
      <c r="Y23" s="686">
        <v>0</v>
      </c>
      <c r="Z23" s="687">
        <v>0</v>
      </c>
      <c r="AA23" s="684">
        <v>2.0459999999999998</v>
      </c>
      <c r="AB23" s="687">
        <v>6.7240000000000002</v>
      </c>
      <c r="AC23" s="686">
        <v>1.8919999999999999</v>
      </c>
      <c r="AD23" s="686">
        <v>4.2649999999999997</v>
      </c>
      <c r="AE23" s="687">
        <v>0.192</v>
      </c>
      <c r="AF23" s="686">
        <v>7.3999999999999996E-2</v>
      </c>
      <c r="AG23" s="686">
        <v>0</v>
      </c>
      <c r="AH23" s="686">
        <v>0.89400000000000002</v>
      </c>
      <c r="AI23" s="686">
        <v>1.4610000000000001</v>
      </c>
      <c r="AJ23" s="686">
        <v>0</v>
      </c>
      <c r="AK23" s="686">
        <v>0</v>
      </c>
      <c r="AL23" s="685">
        <v>0</v>
      </c>
      <c r="AM23" s="684">
        <v>7</v>
      </c>
      <c r="AN23" s="683">
        <v>8.6140000000000008</v>
      </c>
      <c r="AO23" s="683">
        <v>6.7430000000000003</v>
      </c>
      <c r="AP23" s="683">
        <v>0</v>
      </c>
      <c r="AQ23" s="683">
        <v>2.1800000000000002</v>
      </c>
      <c r="AR23" s="683">
        <v>5.6234000000000002</v>
      </c>
      <c r="AS23" s="682">
        <v>6.4000000000000001E-2</v>
      </c>
      <c r="AT23" s="682">
        <v>2.004</v>
      </c>
      <c r="AU23" s="682">
        <v>1.077</v>
      </c>
      <c r="AV23" s="682">
        <v>0.19400000000000001</v>
      </c>
      <c r="AW23" s="681">
        <v>0</v>
      </c>
      <c r="AX23" s="601">
        <f>AVERAGE(AT23:AW23)</f>
        <v>0.81874999999999998</v>
      </c>
      <c r="AY23" s="493">
        <v>9.7330000000000005</v>
      </c>
      <c r="AZ23" s="493">
        <v>2.0670000000000002</v>
      </c>
      <c r="BA23" s="493">
        <v>6.89</v>
      </c>
      <c r="BB23" s="493">
        <v>9.3374100000000002</v>
      </c>
      <c r="BC23" s="493">
        <v>8.3849999999999998</v>
      </c>
      <c r="BD23" s="493">
        <v>6.1760000000000002</v>
      </c>
      <c r="BE23" s="493">
        <v>2.8849999999999998</v>
      </c>
      <c r="BF23" s="493">
        <v>0</v>
      </c>
      <c r="BG23" s="493">
        <v>9.8490000000000002</v>
      </c>
      <c r="BH23" s="722">
        <v>3.0619999999999998</v>
      </c>
      <c r="BI23" s="722">
        <v>7.0739999999999998</v>
      </c>
      <c r="BJ23" s="493">
        <v>2.004</v>
      </c>
      <c r="BK23" s="493">
        <v>3.5369999999999999</v>
      </c>
      <c r="BL23" s="493">
        <v>10.345000000000001</v>
      </c>
      <c r="BM23" s="493">
        <v>9.9250000000000007</v>
      </c>
      <c r="BN23" s="493">
        <v>2.7749999999999999</v>
      </c>
      <c r="BO23" s="493">
        <v>14.755000000000001</v>
      </c>
      <c r="BP23" s="493">
        <v>6.3719999999999999</v>
      </c>
      <c r="BQ23" s="493">
        <v>7.976</v>
      </c>
      <c r="BR23" s="493">
        <v>1.2769999999999999</v>
      </c>
      <c r="BS23" s="493">
        <v>4.9829999999999997</v>
      </c>
      <c r="BT23" s="493">
        <v>2.99</v>
      </c>
      <c r="BU23" s="493">
        <v>3.879</v>
      </c>
      <c r="BV23" s="493">
        <v>5.09</v>
      </c>
      <c r="BW23" s="493">
        <v>0</v>
      </c>
      <c r="BX23" s="493">
        <v>0</v>
      </c>
      <c r="BY23" s="493">
        <v>4.1440000000000001</v>
      </c>
      <c r="BZ23" s="493">
        <v>4.3439500000000004</v>
      </c>
      <c r="CA23" s="493">
        <v>1.2187239999999999</v>
      </c>
      <c r="CB23" s="493">
        <v>1.2050000000000001</v>
      </c>
      <c r="CC23" s="493">
        <v>0</v>
      </c>
      <c r="CD23" s="493">
        <v>0</v>
      </c>
      <c r="CE23" s="493">
        <v>1.071</v>
      </c>
      <c r="CF23" s="493">
        <v>0</v>
      </c>
      <c r="CG23" s="493">
        <v>0</v>
      </c>
      <c r="CH23" s="493">
        <v>0</v>
      </c>
      <c r="CI23" s="493">
        <v>1.841</v>
      </c>
      <c r="CJ23" s="493">
        <v>6.4108999999999998</v>
      </c>
      <c r="CK23" s="493">
        <v>1.78427</v>
      </c>
      <c r="CL23" s="493">
        <v>2.8616899999999998</v>
      </c>
      <c r="CM23" s="493">
        <v>3.7848799999999998</v>
      </c>
      <c r="CN23" s="493">
        <v>0</v>
      </c>
      <c r="CO23" s="493">
        <v>0</v>
      </c>
      <c r="CP23" s="493">
        <v>2.222</v>
      </c>
      <c r="CQ23" s="493">
        <v>3.9434999999999998</v>
      </c>
      <c r="CR23" s="493">
        <v>0</v>
      </c>
      <c r="CS23" s="493">
        <v>0</v>
      </c>
      <c r="CT23" s="493">
        <v>0.21918499999999999</v>
      </c>
      <c r="CU23" s="493">
        <v>0</v>
      </c>
      <c r="CV23" s="493">
        <v>1.76</v>
      </c>
      <c r="CW23" s="493">
        <v>2.0779999999999998</v>
      </c>
      <c r="CX23" s="493">
        <v>2.177619</v>
      </c>
      <c r="CY23" s="493">
        <v>3.4500799999999998</v>
      </c>
      <c r="CZ23" s="493">
        <v>5.2333299999999996</v>
      </c>
      <c r="DA23" s="493">
        <v>2.9553600000000002</v>
      </c>
      <c r="DB23" s="493">
        <v>3.3872900000000001</v>
      </c>
      <c r="DC23" s="493">
        <v>3.2610000000000001</v>
      </c>
      <c r="DD23" s="493">
        <v>4.3409928999999998</v>
      </c>
      <c r="DE23" s="493">
        <v>5.5695803550000003</v>
      </c>
      <c r="DF23" s="493">
        <v>6.48</v>
      </c>
      <c r="DG23" s="493">
        <v>6.3689999999999998</v>
      </c>
      <c r="DH23" s="493">
        <v>1.542</v>
      </c>
      <c r="DI23" s="493">
        <v>1.9E-2</v>
      </c>
      <c r="DJ23" s="493">
        <v>0.55700000000000005</v>
      </c>
      <c r="DK23" s="493">
        <f>SUM(CU23:CX23)</f>
        <v>6.015619</v>
      </c>
      <c r="DL23" s="493">
        <f>SUM(DG23:DJ23)</f>
        <v>8.4870000000000001</v>
      </c>
      <c r="DM23" s="493">
        <f>((DL23/DK23)-1)*100</f>
        <v>41.082738118886851</v>
      </c>
    </row>
    <row r="24" spans="1:118" s="693" customFormat="1" ht="80.099999999999994" customHeight="1">
      <c r="B24" s="721" t="s">
        <v>176</v>
      </c>
      <c r="C24" s="720">
        <f t="shared" ref="C24:AX24" si="8">C28+C27+C26</f>
        <v>133.52600000000001</v>
      </c>
      <c r="D24" s="717">
        <f t="shared" si="8"/>
        <v>133.70400000000001</v>
      </c>
      <c r="E24" s="717">
        <f t="shared" si="8"/>
        <v>128.63800000000001</v>
      </c>
      <c r="F24" s="717">
        <f t="shared" si="8"/>
        <v>118.92500000000001</v>
      </c>
      <c r="G24" s="717">
        <f t="shared" si="8"/>
        <v>132.01</v>
      </c>
      <c r="H24" s="718">
        <f t="shared" si="8"/>
        <v>134.494</v>
      </c>
      <c r="I24" s="715">
        <f t="shared" si="8"/>
        <v>147.465</v>
      </c>
      <c r="J24" s="717">
        <f t="shared" si="8"/>
        <v>147.49299999999999</v>
      </c>
      <c r="K24" s="717">
        <f t="shared" si="8"/>
        <v>155.87200000000001</v>
      </c>
      <c r="L24" s="717">
        <f t="shared" si="8"/>
        <v>151.56399999999999</v>
      </c>
      <c r="M24" s="717">
        <f t="shared" si="8"/>
        <v>160.99799999999999</v>
      </c>
      <c r="N24" s="716">
        <f t="shared" si="8"/>
        <v>166.91199999999998</v>
      </c>
      <c r="O24" s="720">
        <f t="shared" si="8"/>
        <v>120.104</v>
      </c>
      <c r="P24" s="717">
        <f t="shared" si="8"/>
        <v>133.34800000000001</v>
      </c>
      <c r="Q24" s="717">
        <f t="shared" si="8"/>
        <v>133.08500000000001</v>
      </c>
      <c r="R24" s="717">
        <f t="shared" si="8"/>
        <v>130.345</v>
      </c>
      <c r="S24" s="717">
        <f t="shared" si="8"/>
        <v>140.55700000000002</v>
      </c>
      <c r="T24" s="717">
        <f t="shared" si="8"/>
        <v>135.75799999999998</v>
      </c>
      <c r="U24" s="717">
        <f t="shared" si="8"/>
        <v>143.56799999999998</v>
      </c>
      <c r="V24" s="717">
        <f t="shared" si="8"/>
        <v>151.28399999999999</v>
      </c>
      <c r="W24" s="717">
        <f t="shared" si="8"/>
        <v>154.15800000000002</v>
      </c>
      <c r="X24" s="720">
        <f t="shared" si="8"/>
        <v>164.70400000000001</v>
      </c>
      <c r="Y24" s="720">
        <f t="shared" si="8"/>
        <v>167.60900000000001</v>
      </c>
      <c r="Z24" s="719">
        <f t="shared" si="8"/>
        <v>163.82599999999999</v>
      </c>
      <c r="AA24" s="715">
        <f t="shared" si="8"/>
        <v>158.82900000000001</v>
      </c>
      <c r="AB24" s="719">
        <f t="shared" si="8"/>
        <v>134.79599999999999</v>
      </c>
      <c r="AC24" s="717">
        <f t="shared" si="8"/>
        <v>141.61500000000001</v>
      </c>
      <c r="AD24" s="717">
        <f t="shared" si="8"/>
        <v>151.661</v>
      </c>
      <c r="AE24" s="718">
        <f t="shared" si="8"/>
        <v>158.73399999999998</v>
      </c>
      <c r="AF24" s="717">
        <f t="shared" si="8"/>
        <v>152.999</v>
      </c>
      <c r="AG24" s="717">
        <f t="shared" si="8"/>
        <v>150.91499999999999</v>
      </c>
      <c r="AH24" s="717">
        <f t="shared" si="8"/>
        <v>165.37799999999999</v>
      </c>
      <c r="AI24" s="717">
        <f t="shared" si="8"/>
        <v>156.47399999999999</v>
      </c>
      <c r="AJ24" s="717">
        <f t="shared" si="8"/>
        <v>166.64599999999999</v>
      </c>
      <c r="AK24" s="717">
        <f t="shared" si="8"/>
        <v>164.61799999999999</v>
      </c>
      <c r="AL24" s="716">
        <f t="shared" si="8"/>
        <v>164.071</v>
      </c>
      <c r="AM24" s="715">
        <f t="shared" si="8"/>
        <v>158.22999999999999</v>
      </c>
      <c r="AN24" s="715">
        <f t="shared" si="8"/>
        <v>133.51300000000001</v>
      </c>
      <c r="AO24" s="715">
        <f t="shared" si="8"/>
        <v>142.92000000000002</v>
      </c>
      <c r="AP24" s="715">
        <f t="shared" si="8"/>
        <v>134.804</v>
      </c>
      <c r="AQ24" s="715">
        <f t="shared" si="8"/>
        <v>148.86799999999999</v>
      </c>
      <c r="AR24" s="715">
        <f t="shared" si="8"/>
        <v>157.82400000000001</v>
      </c>
      <c r="AS24" s="714">
        <f t="shared" si="8"/>
        <v>164.339</v>
      </c>
      <c r="AT24" s="714">
        <f t="shared" si="8"/>
        <v>173.29</v>
      </c>
      <c r="AU24" s="714">
        <f t="shared" si="8"/>
        <v>172.40899999999999</v>
      </c>
      <c r="AV24" s="714">
        <f t="shared" si="8"/>
        <v>175.59229999999999</v>
      </c>
      <c r="AW24" s="713">
        <f t="shared" si="8"/>
        <v>193.39600000000002</v>
      </c>
      <c r="AX24" s="712">
        <f t="shared" si="8"/>
        <v>187.22300000000001</v>
      </c>
      <c r="AY24" s="711">
        <f t="shared" ref="AY24:CD24" si="9">AY26+AY27+AY28</f>
        <v>174.80983000000001</v>
      </c>
      <c r="AZ24" s="711">
        <f t="shared" si="9"/>
        <v>151.24409</v>
      </c>
      <c r="BA24" s="711">
        <f t="shared" si="9"/>
        <v>157.94458</v>
      </c>
      <c r="BB24" s="711">
        <f t="shared" si="9"/>
        <v>159.47272999999998</v>
      </c>
      <c r="BC24" s="711">
        <f t="shared" si="9"/>
        <v>168.05947999999998</v>
      </c>
      <c r="BD24" s="711">
        <f t="shared" si="9"/>
        <v>170.78886999999997</v>
      </c>
      <c r="BE24" s="711">
        <f t="shared" si="9"/>
        <v>171.20585</v>
      </c>
      <c r="BF24" s="711">
        <f t="shared" si="9"/>
        <v>179.52537999999998</v>
      </c>
      <c r="BG24" s="711">
        <f t="shared" si="9"/>
        <v>173.30153999999999</v>
      </c>
      <c r="BH24" s="711">
        <f t="shared" si="9"/>
        <v>182.86821</v>
      </c>
      <c r="BI24" s="711">
        <f t="shared" si="9"/>
        <v>185.87295</v>
      </c>
      <c r="BJ24" s="711">
        <f t="shared" si="9"/>
        <v>180.52324000000002</v>
      </c>
      <c r="BK24" s="711">
        <f t="shared" si="9"/>
        <v>169.81974420000003</v>
      </c>
      <c r="BL24" s="711">
        <f t="shared" si="9"/>
        <v>157.83244010000001</v>
      </c>
      <c r="BM24" s="711">
        <f t="shared" si="9"/>
        <v>140.54499900000002</v>
      </c>
      <c r="BN24" s="711">
        <f t="shared" si="9"/>
        <v>139.69314730000002</v>
      </c>
      <c r="BO24" s="711">
        <f t="shared" si="9"/>
        <v>157.67516170000002</v>
      </c>
      <c r="BP24" s="711">
        <f t="shared" si="9"/>
        <v>149.34465900000001</v>
      </c>
      <c r="BQ24" s="711">
        <f t="shared" si="9"/>
        <v>159.42197420000002</v>
      </c>
      <c r="BR24" s="711">
        <f t="shared" si="9"/>
        <v>171.29352039999998</v>
      </c>
      <c r="BS24" s="711">
        <f t="shared" si="9"/>
        <v>180.57504699999998</v>
      </c>
      <c r="BT24" s="711">
        <f t="shared" si="9"/>
        <v>194.8651361</v>
      </c>
      <c r="BU24" s="711">
        <f t="shared" si="9"/>
        <v>203.5239617</v>
      </c>
      <c r="BV24" s="711">
        <f t="shared" si="9"/>
        <v>206.46582239999998</v>
      </c>
      <c r="BW24" s="711">
        <f t="shared" si="9"/>
        <v>190.24171999999999</v>
      </c>
      <c r="BX24" s="711">
        <f t="shared" si="9"/>
        <v>170.17103</v>
      </c>
      <c r="BY24" s="711">
        <f t="shared" si="9"/>
        <v>173.82303999999999</v>
      </c>
      <c r="BZ24" s="711">
        <f t="shared" si="9"/>
        <v>175.13139000000001</v>
      </c>
      <c r="CA24" s="711">
        <f t="shared" si="9"/>
        <v>173.27904000000001</v>
      </c>
      <c r="CB24" s="711">
        <f t="shared" si="9"/>
        <v>186.58446000000001</v>
      </c>
      <c r="CC24" s="711">
        <f t="shared" si="9"/>
        <v>200.19708</v>
      </c>
      <c r="CD24" s="711">
        <f t="shared" si="9"/>
        <v>199.5857</v>
      </c>
      <c r="CE24" s="711">
        <f t="shared" ref="CE24:DL24" si="10">CE26+CE27+CE28</f>
        <v>205.94049000000001</v>
      </c>
      <c r="CF24" s="711">
        <f t="shared" si="10"/>
        <v>217.29743000000002</v>
      </c>
      <c r="CG24" s="711">
        <f t="shared" si="10"/>
        <v>203.84971999999999</v>
      </c>
      <c r="CH24" s="711">
        <f t="shared" si="10"/>
        <v>217.31175000000002</v>
      </c>
      <c r="CI24" s="711">
        <f t="shared" si="10"/>
        <v>198.49282480000002</v>
      </c>
      <c r="CJ24" s="711">
        <f t="shared" si="10"/>
        <v>169.5936332</v>
      </c>
      <c r="CK24" s="711">
        <f t="shared" si="10"/>
        <v>180.68567479999999</v>
      </c>
      <c r="CL24" s="711">
        <f t="shared" si="10"/>
        <v>180.73529070000001</v>
      </c>
      <c r="CM24" s="711">
        <f t="shared" si="10"/>
        <v>183.72868680000002</v>
      </c>
      <c r="CN24" s="711">
        <f t="shared" si="10"/>
        <v>198.54306749999998</v>
      </c>
      <c r="CO24" s="711">
        <f t="shared" si="10"/>
        <v>212.97267639999998</v>
      </c>
      <c r="CP24" s="711">
        <f t="shared" si="10"/>
        <v>216.06068730000001</v>
      </c>
      <c r="CQ24" s="711">
        <f t="shared" si="10"/>
        <v>213.4009394</v>
      </c>
      <c r="CR24" s="711">
        <f t="shared" si="10"/>
        <v>212.43313229999995</v>
      </c>
      <c r="CS24" s="711">
        <f t="shared" si="10"/>
        <v>214.68986689999997</v>
      </c>
      <c r="CT24" s="711">
        <f t="shared" si="10"/>
        <v>225.1333338</v>
      </c>
      <c r="CU24" s="711">
        <f t="shared" si="10"/>
        <v>203.10189270000001</v>
      </c>
      <c r="CV24" s="711">
        <f t="shared" si="10"/>
        <v>186.2593004</v>
      </c>
      <c r="CW24" s="711">
        <f t="shared" si="10"/>
        <v>180.8129562</v>
      </c>
      <c r="CX24" s="711">
        <f t="shared" si="10"/>
        <v>179.83321699999999</v>
      </c>
      <c r="CY24" s="711">
        <f t="shared" si="10"/>
        <v>195.05786209999999</v>
      </c>
      <c r="CZ24" s="711">
        <f t="shared" si="10"/>
        <v>207.37848399999999</v>
      </c>
      <c r="DA24" s="711">
        <f t="shared" si="10"/>
        <v>212.6164349</v>
      </c>
      <c r="DB24" s="711">
        <f t="shared" si="10"/>
        <v>238.65520130000002</v>
      </c>
      <c r="DC24" s="711">
        <f t="shared" si="10"/>
        <v>239.11839040000004</v>
      </c>
      <c r="DD24" s="711">
        <f t="shared" si="10"/>
        <v>235.66940390000002</v>
      </c>
      <c r="DE24" s="711">
        <f t="shared" si="10"/>
        <v>238.78896220000001</v>
      </c>
      <c r="DF24" s="711">
        <f t="shared" si="10"/>
        <v>245.80474720000001</v>
      </c>
      <c r="DG24" s="711">
        <f t="shared" si="10"/>
        <v>209.94038990000001</v>
      </c>
      <c r="DH24" s="711">
        <f t="shared" si="10"/>
        <v>201.62915179999999</v>
      </c>
      <c r="DI24" s="711">
        <f t="shared" si="10"/>
        <v>190.0428081</v>
      </c>
      <c r="DJ24" s="711">
        <f t="shared" si="10"/>
        <v>191.50226179999999</v>
      </c>
      <c r="DK24" s="711">
        <f t="shared" si="10"/>
        <v>750.00736629999994</v>
      </c>
      <c r="DL24" s="711">
        <f t="shared" si="10"/>
        <v>793.11461159999988</v>
      </c>
      <c r="DM24" s="711">
        <f>((DL24/DK24)-1)*100</f>
        <v>5.7475762555053711</v>
      </c>
      <c r="DN24" s="561"/>
    </row>
    <row r="25" spans="1:118" s="693" customFormat="1" ht="80.099999999999994" customHeight="1" thickBot="1">
      <c r="B25" s="710" t="s">
        <v>175</v>
      </c>
      <c r="C25" s="699"/>
      <c r="D25" s="702"/>
      <c r="E25" s="702"/>
      <c r="F25" s="702"/>
      <c r="G25" s="702"/>
      <c r="H25" s="709"/>
      <c r="I25" s="708"/>
      <c r="J25" s="705"/>
      <c r="K25" s="705"/>
      <c r="L25" s="705"/>
      <c r="M25" s="705"/>
      <c r="N25" s="707"/>
      <c r="O25" s="706"/>
      <c r="P25" s="705"/>
      <c r="Q25" s="705"/>
      <c r="R25" s="705"/>
      <c r="S25" s="705"/>
      <c r="T25" s="705"/>
      <c r="U25" s="705"/>
      <c r="V25" s="705"/>
      <c r="W25" s="705"/>
      <c r="X25" s="706"/>
      <c r="Y25" s="705"/>
      <c r="Z25" s="704"/>
      <c r="AA25" s="700"/>
      <c r="AB25" s="703"/>
      <c r="AC25" s="702"/>
      <c r="AD25" s="702"/>
      <c r="AE25" s="703"/>
      <c r="AF25" s="702"/>
      <c r="AG25" s="702"/>
      <c r="AH25" s="702"/>
      <c r="AI25" s="702"/>
      <c r="AJ25" s="702"/>
      <c r="AK25" s="702"/>
      <c r="AL25" s="701"/>
      <c r="AM25" s="700"/>
      <c r="AN25" s="699"/>
      <c r="AO25" s="699"/>
      <c r="AP25" s="699"/>
      <c r="AQ25" s="699"/>
      <c r="AR25" s="699"/>
      <c r="AS25" s="698"/>
      <c r="AT25" s="698"/>
      <c r="AU25" s="698"/>
      <c r="AV25" s="698"/>
      <c r="AW25" s="697"/>
      <c r="AX25" s="696"/>
      <c r="AY25" s="695"/>
      <c r="AZ25" s="695"/>
      <c r="BA25" s="695"/>
      <c r="BB25" s="695"/>
      <c r="BC25" s="695"/>
      <c r="BD25" s="695"/>
      <c r="BE25" s="695"/>
      <c r="BF25" s="695"/>
      <c r="BG25" s="695"/>
      <c r="BH25" s="695"/>
      <c r="BI25" s="695"/>
      <c r="BJ25" s="695"/>
      <c r="BK25" s="695"/>
      <c r="BL25" s="695"/>
      <c r="BM25" s="695"/>
      <c r="BN25" s="695"/>
      <c r="BO25" s="695"/>
      <c r="BP25" s="695"/>
      <c r="BQ25" s="695"/>
      <c r="BR25" s="695"/>
      <c r="BS25" s="695"/>
      <c r="BT25" s="695"/>
      <c r="BU25" s="695"/>
      <c r="BV25" s="695"/>
      <c r="BW25" s="695"/>
      <c r="BX25" s="694"/>
      <c r="BY25" s="694"/>
      <c r="BZ25" s="694" t="s">
        <v>174</v>
      </c>
      <c r="CA25" s="694"/>
      <c r="CB25" s="694"/>
      <c r="CC25" s="694"/>
      <c r="CD25" s="694"/>
      <c r="CE25" s="694"/>
      <c r="CF25" s="694"/>
      <c r="CG25" s="694"/>
      <c r="CH25" s="694"/>
      <c r="CI25" s="694"/>
      <c r="CJ25" s="694"/>
      <c r="CK25" s="694"/>
      <c r="CL25" s="694"/>
      <c r="CM25" s="694"/>
      <c r="CN25" s="694"/>
      <c r="CO25" s="694"/>
      <c r="CP25" s="694"/>
      <c r="CQ25" s="694"/>
      <c r="CR25" s="694"/>
      <c r="CS25" s="694"/>
      <c r="CT25" s="694"/>
      <c r="CU25" s="694"/>
      <c r="CV25" s="694"/>
      <c r="CW25" s="694"/>
      <c r="CX25" s="694"/>
      <c r="CY25" s="694"/>
      <c r="CZ25" s="694"/>
      <c r="DA25" s="694"/>
      <c r="DB25" s="694"/>
      <c r="DC25" s="694"/>
      <c r="DD25" s="694"/>
      <c r="DE25" s="694"/>
      <c r="DF25" s="694"/>
      <c r="DG25" s="694"/>
      <c r="DH25" s="694"/>
      <c r="DI25" s="694"/>
      <c r="DJ25" s="694"/>
      <c r="DK25" s="694"/>
      <c r="DL25" s="694"/>
      <c r="DM25" s="694"/>
      <c r="DN25" s="561"/>
    </row>
    <row r="26" spans="1:118" ht="80.099999999999994" customHeight="1">
      <c r="A26" s="327">
        <v>80</v>
      </c>
      <c r="B26" s="692" t="s">
        <v>173</v>
      </c>
      <c r="C26" s="691">
        <v>87.019000000000005</v>
      </c>
      <c r="D26" s="690">
        <v>82.716999999999999</v>
      </c>
      <c r="E26" s="691">
        <v>79.245000000000005</v>
      </c>
      <c r="F26" s="690">
        <v>72.599000000000004</v>
      </c>
      <c r="G26" s="690">
        <v>76.558999999999997</v>
      </c>
      <c r="H26" s="689">
        <v>80.36</v>
      </c>
      <c r="I26" s="684">
        <v>92.05</v>
      </c>
      <c r="J26" s="686">
        <v>92.460999999999999</v>
      </c>
      <c r="K26" s="686">
        <v>102.654</v>
      </c>
      <c r="L26" s="686">
        <v>96.131</v>
      </c>
      <c r="M26" s="686">
        <v>101.10899999999999</v>
      </c>
      <c r="N26" s="688">
        <v>103.71599999999999</v>
      </c>
      <c r="O26" s="683">
        <v>88.674999999999997</v>
      </c>
      <c r="P26" s="686">
        <v>83.924999999999997</v>
      </c>
      <c r="Q26" s="686">
        <v>84.183000000000007</v>
      </c>
      <c r="R26" s="686">
        <v>80.783000000000001</v>
      </c>
      <c r="S26" s="686">
        <v>88.816000000000003</v>
      </c>
      <c r="T26" s="686">
        <v>86.17</v>
      </c>
      <c r="U26" s="686">
        <v>88.296999999999997</v>
      </c>
      <c r="V26" s="686">
        <v>97.938999999999993</v>
      </c>
      <c r="W26" s="686">
        <v>99.644000000000005</v>
      </c>
      <c r="X26" s="683">
        <v>107.10299999999999</v>
      </c>
      <c r="Y26" s="686">
        <v>110.664</v>
      </c>
      <c r="Z26" s="687">
        <v>108.824</v>
      </c>
      <c r="AA26" s="684">
        <v>101.575</v>
      </c>
      <c r="AB26" s="687">
        <v>91.941000000000003</v>
      </c>
      <c r="AC26" s="686">
        <v>86.808999999999997</v>
      </c>
      <c r="AD26" s="686">
        <v>100.04</v>
      </c>
      <c r="AE26" s="687">
        <v>104.72499999999999</v>
      </c>
      <c r="AF26" s="686">
        <v>99.328999999999994</v>
      </c>
      <c r="AG26" s="686">
        <v>94.251999999999995</v>
      </c>
      <c r="AH26" s="686">
        <v>111.31</v>
      </c>
      <c r="AI26" s="686">
        <v>102.276</v>
      </c>
      <c r="AJ26" s="686">
        <v>114.44199999999999</v>
      </c>
      <c r="AK26" s="686">
        <v>110.27800000000001</v>
      </c>
      <c r="AL26" s="685">
        <v>107.54</v>
      </c>
      <c r="AM26" s="684">
        <v>101.81399999999999</v>
      </c>
      <c r="AN26" s="683">
        <v>92.894000000000005</v>
      </c>
      <c r="AO26" s="683">
        <v>90.426000000000002</v>
      </c>
      <c r="AP26" s="683">
        <v>86.322000000000003</v>
      </c>
      <c r="AQ26" s="683">
        <v>93.277000000000001</v>
      </c>
      <c r="AR26" s="683">
        <v>100.256</v>
      </c>
      <c r="AS26" s="682">
        <v>100.98399999999999</v>
      </c>
      <c r="AT26" s="682">
        <v>113.003</v>
      </c>
      <c r="AU26" s="682">
        <v>111.113</v>
      </c>
      <c r="AV26" s="682">
        <v>120.036</v>
      </c>
      <c r="AW26" s="681">
        <v>125.812</v>
      </c>
      <c r="AX26" s="601">
        <v>119.836</v>
      </c>
      <c r="AY26" s="493">
        <v>107.16598</v>
      </c>
      <c r="AZ26" s="493">
        <v>102.36494999999999</v>
      </c>
      <c r="BA26" s="493">
        <v>97.581850000000003</v>
      </c>
      <c r="BB26" s="493">
        <v>99.992490000000004</v>
      </c>
      <c r="BC26" s="493">
        <v>105.00928</v>
      </c>
      <c r="BD26" s="493">
        <v>111.02443</v>
      </c>
      <c r="BE26" s="493">
        <v>107.49339999999999</v>
      </c>
      <c r="BF26" s="493">
        <v>114.67337999999999</v>
      </c>
      <c r="BG26" s="493">
        <v>112.34244</v>
      </c>
      <c r="BH26" s="493">
        <v>121.76282</v>
      </c>
      <c r="BI26" s="493">
        <v>121.21305</v>
      </c>
      <c r="BJ26" s="493">
        <v>118.24038</v>
      </c>
      <c r="BK26" s="493">
        <v>109.76929220000001</v>
      </c>
      <c r="BL26" s="493">
        <v>100.44056210000001</v>
      </c>
      <c r="BM26" s="493">
        <v>85.484389000000007</v>
      </c>
      <c r="BN26" s="493">
        <v>88.286384300000009</v>
      </c>
      <c r="BO26" s="493">
        <v>95.0661877</v>
      </c>
      <c r="BP26" s="493">
        <v>92.915210000000002</v>
      </c>
      <c r="BQ26" s="493">
        <v>97.878068200000016</v>
      </c>
      <c r="BR26" s="493">
        <v>110.12696139999998</v>
      </c>
      <c r="BS26" s="493">
        <v>110.59848600000001</v>
      </c>
      <c r="BT26" s="493">
        <v>127.6039711</v>
      </c>
      <c r="BU26" s="493">
        <v>129.7771247</v>
      </c>
      <c r="BV26" s="493">
        <v>132.92301839999999</v>
      </c>
      <c r="BW26" s="493">
        <v>119.0038</v>
      </c>
      <c r="BX26" s="493">
        <v>103.19211</v>
      </c>
      <c r="BY26" s="493">
        <v>106.45676</v>
      </c>
      <c r="BZ26" s="493">
        <v>108.54123</v>
      </c>
      <c r="CA26" s="493">
        <v>104.09923000000001</v>
      </c>
      <c r="CB26" s="493">
        <v>116.3117</v>
      </c>
      <c r="CC26" s="493">
        <v>124.30853</v>
      </c>
      <c r="CD26" s="493">
        <v>125.96249</v>
      </c>
      <c r="CE26" s="493">
        <v>136.68350000000001</v>
      </c>
      <c r="CF26" s="493">
        <v>141.47496000000001</v>
      </c>
      <c r="CG26" s="493">
        <v>128.45018999999999</v>
      </c>
      <c r="CH26" s="493">
        <v>141.88452000000001</v>
      </c>
      <c r="CI26" s="493">
        <v>127.59167380000001</v>
      </c>
      <c r="CJ26" s="493">
        <v>104.1744612</v>
      </c>
      <c r="CK26" s="493">
        <v>112.01610579999999</v>
      </c>
      <c r="CL26" s="493">
        <v>112.59708569999999</v>
      </c>
      <c r="CM26" s="493">
        <v>109.18675280000001</v>
      </c>
      <c r="CN26" s="493">
        <v>124.9497835</v>
      </c>
      <c r="CO26" s="493">
        <v>131.18296439999997</v>
      </c>
      <c r="CP26" s="493">
        <v>141.46797730000003</v>
      </c>
      <c r="CQ26" s="493">
        <v>143.45421340000001</v>
      </c>
      <c r="CR26" s="493">
        <v>140.11230529999997</v>
      </c>
      <c r="CS26" s="493">
        <v>144.05933789999997</v>
      </c>
      <c r="CT26" s="493">
        <v>149.2444318</v>
      </c>
      <c r="CU26" s="493">
        <v>123.0673867</v>
      </c>
      <c r="CV26" s="493">
        <v>120.60672339999999</v>
      </c>
      <c r="CW26" s="493">
        <v>106.36745020000001</v>
      </c>
      <c r="CX26" s="493">
        <v>109.63135299999999</v>
      </c>
      <c r="CY26" s="493">
        <v>119.7163061</v>
      </c>
      <c r="CZ26" s="493">
        <v>130.743098</v>
      </c>
      <c r="DA26" s="493">
        <v>128.4721299</v>
      </c>
      <c r="DB26" s="493">
        <v>156.61631930000001</v>
      </c>
      <c r="DC26" s="493">
        <v>158.26484440000004</v>
      </c>
      <c r="DD26" s="493">
        <v>152.28055890000002</v>
      </c>
      <c r="DE26" s="493">
        <v>157.80011720000002</v>
      </c>
      <c r="DF26" s="493">
        <v>163.00221519999999</v>
      </c>
      <c r="DG26" s="493">
        <v>130.98042290000001</v>
      </c>
      <c r="DH26" s="493">
        <v>129.03611079999999</v>
      </c>
      <c r="DI26" s="493">
        <v>113.2685591</v>
      </c>
      <c r="DJ26" s="493">
        <v>117.69463279999999</v>
      </c>
      <c r="DK26" s="493">
        <f>SUM(CU26:CX26)</f>
        <v>459.6729133</v>
      </c>
      <c r="DL26" s="493">
        <f>SUM(DG26:DJ26)</f>
        <v>490.97972559999994</v>
      </c>
      <c r="DM26" s="493">
        <f>((DL26/DK26)-1)*100</f>
        <v>6.8106715436521581</v>
      </c>
    </row>
    <row r="27" spans="1:118" ht="80.099999999999994" customHeight="1">
      <c r="A27" s="327">
        <v>81</v>
      </c>
      <c r="B27" s="591" t="s">
        <v>172</v>
      </c>
      <c r="C27" s="691">
        <v>30</v>
      </c>
      <c r="D27" s="690">
        <v>35.841000000000001</v>
      </c>
      <c r="E27" s="691">
        <v>37.511000000000003</v>
      </c>
      <c r="F27" s="690">
        <v>35.183</v>
      </c>
      <c r="G27" s="690">
        <v>38.106999999999999</v>
      </c>
      <c r="H27" s="689">
        <v>41.104999999999997</v>
      </c>
      <c r="I27" s="684">
        <v>45.097999999999999</v>
      </c>
      <c r="J27" s="686">
        <v>46.027999999999999</v>
      </c>
      <c r="K27" s="686">
        <v>44.465000000000003</v>
      </c>
      <c r="L27" s="686">
        <v>42.320999999999998</v>
      </c>
      <c r="M27" s="686">
        <v>45.17</v>
      </c>
      <c r="N27" s="688">
        <v>46.472999999999999</v>
      </c>
      <c r="O27" s="683">
        <v>14.778</v>
      </c>
      <c r="P27" s="686">
        <v>36.871000000000002</v>
      </c>
      <c r="Q27" s="686">
        <v>40.008000000000003</v>
      </c>
      <c r="R27" s="686">
        <v>40.421999999999997</v>
      </c>
      <c r="S27" s="686">
        <v>42.606000000000002</v>
      </c>
      <c r="T27" s="686">
        <v>40.427999999999997</v>
      </c>
      <c r="U27" s="686">
        <v>44.521999999999998</v>
      </c>
      <c r="V27" s="686">
        <v>44.026000000000003</v>
      </c>
      <c r="W27" s="686">
        <v>45.518999999999998</v>
      </c>
      <c r="X27" s="683">
        <v>47.780999999999999</v>
      </c>
      <c r="Y27" s="686">
        <v>46.966999999999999</v>
      </c>
      <c r="Z27" s="687">
        <v>47.555</v>
      </c>
      <c r="AA27" s="684">
        <v>48.439</v>
      </c>
      <c r="AB27" s="687">
        <v>34.307000000000002</v>
      </c>
      <c r="AC27" s="686">
        <v>46.551000000000002</v>
      </c>
      <c r="AD27" s="686">
        <v>43.069000000000003</v>
      </c>
      <c r="AE27" s="687">
        <v>46.216999999999999</v>
      </c>
      <c r="AF27" s="686">
        <v>45.362000000000002</v>
      </c>
      <c r="AG27" s="686">
        <v>48.045999999999999</v>
      </c>
      <c r="AH27" s="686">
        <v>46.67</v>
      </c>
      <c r="AI27" s="686">
        <v>46.731000000000002</v>
      </c>
      <c r="AJ27" s="686">
        <v>43.411000000000001</v>
      </c>
      <c r="AK27" s="686">
        <v>46.188000000000002</v>
      </c>
      <c r="AL27" s="685">
        <v>47.448999999999998</v>
      </c>
      <c r="AM27" s="684">
        <v>48.164000000000001</v>
      </c>
      <c r="AN27" s="683">
        <v>34.039000000000001</v>
      </c>
      <c r="AO27" s="683">
        <v>42.872999999999998</v>
      </c>
      <c r="AP27" s="683">
        <v>40.142000000000003</v>
      </c>
      <c r="AQ27" s="683">
        <v>44.862000000000002</v>
      </c>
      <c r="AR27" s="683">
        <v>47.093000000000004</v>
      </c>
      <c r="AS27" s="682">
        <v>52.78</v>
      </c>
      <c r="AT27" s="682">
        <v>50.018000000000001</v>
      </c>
      <c r="AU27" s="682">
        <v>50.652999999999999</v>
      </c>
      <c r="AV27" s="682">
        <v>43.774999999999999</v>
      </c>
      <c r="AW27" s="681">
        <v>56.08</v>
      </c>
      <c r="AX27" s="601">
        <v>54.509</v>
      </c>
      <c r="AY27" s="493">
        <v>55.763620000000003</v>
      </c>
      <c r="AZ27" s="493">
        <v>39.013689999999997</v>
      </c>
      <c r="BA27" s="493">
        <v>49.126950000000001</v>
      </c>
      <c r="BB27" s="493">
        <v>47.354640000000003</v>
      </c>
      <c r="BC27" s="493">
        <v>52.228409999999997</v>
      </c>
      <c r="BD27" s="493">
        <v>49.249980000000001</v>
      </c>
      <c r="BE27" s="493">
        <v>53.287390000000002</v>
      </c>
      <c r="BF27" s="493">
        <v>54.080170000000003</v>
      </c>
      <c r="BG27" s="493">
        <v>51.63794</v>
      </c>
      <c r="BH27" s="493">
        <v>50.054430000000004</v>
      </c>
      <c r="BI27" s="493">
        <v>53.326790000000003</v>
      </c>
      <c r="BJ27" s="493">
        <v>51.784100000000002</v>
      </c>
      <c r="BK27" s="493">
        <v>48.326122000000005</v>
      </c>
      <c r="BL27" s="493">
        <v>45.398937999999994</v>
      </c>
      <c r="BM27" s="493">
        <v>43.839710000000004</v>
      </c>
      <c r="BN27" s="493">
        <v>40.341063000000013</v>
      </c>
      <c r="BO27" s="493">
        <v>49.888074000000003</v>
      </c>
      <c r="BP27" s="493">
        <v>45.215328999999997</v>
      </c>
      <c r="BQ27" s="493">
        <v>48.368095999999994</v>
      </c>
      <c r="BR27" s="493">
        <v>48.958548999999998</v>
      </c>
      <c r="BS27" s="493">
        <v>58.128101000000001</v>
      </c>
      <c r="BT27" s="493">
        <v>53.100124999999998</v>
      </c>
      <c r="BU27" s="493">
        <v>61.049697000000002</v>
      </c>
      <c r="BV27" s="493">
        <v>58.706423999999998</v>
      </c>
      <c r="BW27" s="493">
        <v>55.925890000000003</v>
      </c>
      <c r="BX27" s="493">
        <v>52.476559999999999</v>
      </c>
      <c r="BY27" s="493">
        <v>51.815600000000003</v>
      </c>
      <c r="BZ27" s="493">
        <v>52.813299999999998</v>
      </c>
      <c r="CA27" s="493">
        <v>54.30292</v>
      </c>
      <c r="CB27" s="493">
        <v>55.440429999999999</v>
      </c>
      <c r="CC27" s="493">
        <v>62.785119999999999</v>
      </c>
      <c r="CD27" s="493">
        <v>61.446629999999999</v>
      </c>
      <c r="CE27" s="493">
        <v>57.765309999999999</v>
      </c>
      <c r="CF27" s="493">
        <v>61.071260000000002</v>
      </c>
      <c r="CG27" s="493">
        <v>60.302079999999997</v>
      </c>
      <c r="CH27" s="493">
        <v>60.395949999999999</v>
      </c>
      <c r="CI27" s="493">
        <v>57.781614000000005</v>
      </c>
      <c r="CJ27" s="493">
        <v>52.652064000000003</v>
      </c>
      <c r="CK27" s="493">
        <v>55.039538</v>
      </c>
      <c r="CL27" s="493">
        <v>52.994490000000006</v>
      </c>
      <c r="CM27" s="493">
        <v>58.296813</v>
      </c>
      <c r="CN27" s="493">
        <v>59.319181999999998</v>
      </c>
      <c r="CO27" s="493">
        <v>66.715396999999996</v>
      </c>
      <c r="CP27" s="493">
        <v>62.421925999999999</v>
      </c>
      <c r="CQ27" s="493">
        <v>59.412635999999999</v>
      </c>
      <c r="CR27" s="493">
        <v>60.164142999999996</v>
      </c>
      <c r="CS27" s="493">
        <v>59.282665000000001</v>
      </c>
      <c r="CT27" s="493">
        <v>62.145589000000001</v>
      </c>
      <c r="CU27" s="493">
        <v>66.445879000000005</v>
      </c>
      <c r="CV27" s="493">
        <v>51.139778999999997</v>
      </c>
      <c r="CW27" s="493">
        <v>57.780439999999992</v>
      </c>
      <c r="CX27" s="493">
        <v>54.34686</v>
      </c>
      <c r="CY27" s="493">
        <v>62.433438999999993</v>
      </c>
      <c r="CZ27" s="493">
        <v>61.987720000000003</v>
      </c>
      <c r="DA27" s="493">
        <v>69.340141000000003</v>
      </c>
      <c r="DB27" s="493">
        <v>67.507812999999999</v>
      </c>
      <c r="DC27" s="493">
        <v>66.955909000000005</v>
      </c>
      <c r="DD27" s="493">
        <v>67.576524000000006</v>
      </c>
      <c r="DE27" s="493">
        <v>65.140948999999992</v>
      </c>
      <c r="DF27" s="493">
        <v>70.145069000000007</v>
      </c>
      <c r="DG27" s="493">
        <v>64.064458999999999</v>
      </c>
      <c r="DH27" s="493">
        <v>59.042166999999999</v>
      </c>
      <c r="DI27" s="493">
        <v>61.258178999999998</v>
      </c>
      <c r="DJ27" s="493">
        <v>58.795188000000003</v>
      </c>
      <c r="DK27" s="493">
        <f>SUM(CU27:CX27)</f>
        <v>229.71295799999999</v>
      </c>
      <c r="DL27" s="493">
        <f>SUM(DG27:DJ27)</f>
        <v>243.15999299999999</v>
      </c>
      <c r="DM27" s="493">
        <f>((DL27/DK27)-1)*100</f>
        <v>5.8538426029932644</v>
      </c>
    </row>
    <row r="28" spans="1:118" ht="80.099999999999994" customHeight="1" thickBot="1">
      <c r="A28" s="327">
        <v>82</v>
      </c>
      <c r="B28" s="591" t="s">
        <v>171</v>
      </c>
      <c r="C28" s="691">
        <v>16.507000000000001</v>
      </c>
      <c r="D28" s="690">
        <v>15.146000000000001</v>
      </c>
      <c r="E28" s="691">
        <v>11.882</v>
      </c>
      <c r="F28" s="690">
        <v>11.143000000000001</v>
      </c>
      <c r="G28" s="690">
        <v>17.344000000000001</v>
      </c>
      <c r="H28" s="689">
        <v>13.029</v>
      </c>
      <c r="I28" s="684">
        <v>10.317</v>
      </c>
      <c r="J28" s="686">
        <v>9.0039999999999996</v>
      </c>
      <c r="K28" s="686">
        <v>8.7530000000000001</v>
      </c>
      <c r="L28" s="686">
        <v>13.112</v>
      </c>
      <c r="M28" s="686">
        <v>14.718999999999999</v>
      </c>
      <c r="N28" s="688">
        <v>16.722999999999999</v>
      </c>
      <c r="O28" s="683">
        <v>16.651</v>
      </c>
      <c r="P28" s="686">
        <v>12.552</v>
      </c>
      <c r="Q28" s="686">
        <v>8.8940000000000001</v>
      </c>
      <c r="R28" s="686">
        <v>9.14</v>
      </c>
      <c r="S28" s="686">
        <v>9.1349999999999998</v>
      </c>
      <c r="T28" s="686">
        <v>9.16</v>
      </c>
      <c r="U28" s="686">
        <v>10.749000000000001</v>
      </c>
      <c r="V28" s="686">
        <v>9.3190000000000008</v>
      </c>
      <c r="W28" s="686">
        <v>8.9949999999999992</v>
      </c>
      <c r="X28" s="683">
        <v>9.82</v>
      </c>
      <c r="Y28" s="686">
        <v>9.9779999999999998</v>
      </c>
      <c r="Z28" s="687">
        <v>7.4470000000000001</v>
      </c>
      <c r="AA28" s="684">
        <v>8.8149999999999995</v>
      </c>
      <c r="AB28" s="687">
        <v>8.548</v>
      </c>
      <c r="AC28" s="686">
        <v>8.2550000000000008</v>
      </c>
      <c r="AD28" s="686">
        <v>8.5519999999999996</v>
      </c>
      <c r="AE28" s="687">
        <v>7.7919999999999998</v>
      </c>
      <c r="AF28" s="686">
        <v>8.3079999999999998</v>
      </c>
      <c r="AG28" s="686">
        <v>8.6170000000000009</v>
      </c>
      <c r="AH28" s="686">
        <v>7.3979999999999997</v>
      </c>
      <c r="AI28" s="686">
        <v>7.4669999999999996</v>
      </c>
      <c r="AJ28" s="686">
        <v>8.7929999999999993</v>
      </c>
      <c r="AK28" s="686">
        <v>8.1519999999999992</v>
      </c>
      <c r="AL28" s="685">
        <v>9.0820000000000007</v>
      </c>
      <c r="AM28" s="684">
        <v>8.2520000000000007</v>
      </c>
      <c r="AN28" s="683">
        <v>6.58</v>
      </c>
      <c r="AO28" s="683">
        <v>9.6210000000000004</v>
      </c>
      <c r="AP28" s="683">
        <v>8.34</v>
      </c>
      <c r="AQ28" s="683">
        <v>10.728999999999999</v>
      </c>
      <c r="AR28" s="683">
        <v>10.475</v>
      </c>
      <c r="AS28" s="682">
        <v>10.574999999999999</v>
      </c>
      <c r="AT28" s="682">
        <v>10.269</v>
      </c>
      <c r="AU28" s="682">
        <v>10.643000000000001</v>
      </c>
      <c r="AV28" s="682">
        <v>11.7813</v>
      </c>
      <c r="AW28" s="681">
        <v>11.504</v>
      </c>
      <c r="AX28" s="601">
        <v>12.878</v>
      </c>
      <c r="AY28" s="493">
        <v>11.880229999999999</v>
      </c>
      <c r="AZ28" s="493">
        <v>9.8654499999999992</v>
      </c>
      <c r="BA28" s="493">
        <v>11.23578</v>
      </c>
      <c r="BB28" s="493">
        <v>12.1256</v>
      </c>
      <c r="BC28" s="493">
        <v>10.82179</v>
      </c>
      <c r="BD28" s="493">
        <v>10.51446</v>
      </c>
      <c r="BE28" s="493">
        <v>10.42506</v>
      </c>
      <c r="BF28" s="493">
        <v>10.77183</v>
      </c>
      <c r="BG28" s="493">
        <v>9.3211600000000008</v>
      </c>
      <c r="BH28" s="493">
        <v>11.05096</v>
      </c>
      <c r="BI28" s="493">
        <v>11.33311</v>
      </c>
      <c r="BJ28" s="493">
        <v>10.498760000000001</v>
      </c>
      <c r="BK28" s="493">
        <v>11.72433</v>
      </c>
      <c r="BL28" s="493">
        <v>11.992939999999999</v>
      </c>
      <c r="BM28" s="493">
        <v>11.220900000000002</v>
      </c>
      <c r="BN28" s="493">
        <v>11.065700000000001</v>
      </c>
      <c r="BO28" s="493">
        <v>12.7209</v>
      </c>
      <c r="BP28" s="493">
        <v>11.214120000000001</v>
      </c>
      <c r="BQ28" s="493">
        <v>13.175810000000002</v>
      </c>
      <c r="BR28" s="493">
        <v>12.20801</v>
      </c>
      <c r="BS28" s="493">
        <v>11.848459999999999</v>
      </c>
      <c r="BT28" s="493">
        <v>14.161040000000002</v>
      </c>
      <c r="BU28" s="493">
        <v>12.697139999999999</v>
      </c>
      <c r="BV28" s="493">
        <v>14.836379999999998</v>
      </c>
      <c r="BW28" s="493">
        <v>15.31203</v>
      </c>
      <c r="BX28" s="493">
        <v>14.502359999999999</v>
      </c>
      <c r="BY28" s="493">
        <v>15.55068</v>
      </c>
      <c r="BZ28" s="493">
        <v>13.776859999999999</v>
      </c>
      <c r="CA28" s="493">
        <v>14.87689</v>
      </c>
      <c r="CB28" s="493">
        <v>14.832330000000001</v>
      </c>
      <c r="CC28" s="493">
        <v>13.103429999999999</v>
      </c>
      <c r="CD28" s="493">
        <v>12.17658</v>
      </c>
      <c r="CE28" s="493">
        <v>11.491680000000001</v>
      </c>
      <c r="CF28" s="493">
        <v>14.75121</v>
      </c>
      <c r="CG28" s="493">
        <v>15.09745</v>
      </c>
      <c r="CH28" s="493">
        <v>15.031280000000001</v>
      </c>
      <c r="CI28" s="493">
        <v>13.119536999999998</v>
      </c>
      <c r="CJ28" s="579">
        <v>12.767108</v>
      </c>
      <c r="CK28" s="579">
        <v>13.630030999999999</v>
      </c>
      <c r="CL28" s="579">
        <v>15.143715</v>
      </c>
      <c r="CM28" s="579">
        <v>16.245121000000001</v>
      </c>
      <c r="CN28" s="579">
        <v>14.274101999999999</v>
      </c>
      <c r="CO28" s="579">
        <v>15.074315</v>
      </c>
      <c r="CP28" s="579">
        <v>12.170783999999999</v>
      </c>
      <c r="CQ28" s="579">
        <v>10.534090000000001</v>
      </c>
      <c r="CR28" s="579">
        <v>12.156683999999998</v>
      </c>
      <c r="CS28" s="579">
        <v>11.347864</v>
      </c>
      <c r="CT28" s="579">
        <v>13.743313000000001</v>
      </c>
      <c r="CU28" s="579">
        <v>13.588627000000001</v>
      </c>
      <c r="CV28" s="579">
        <v>14.512798</v>
      </c>
      <c r="CW28" s="579">
        <v>16.665065999999999</v>
      </c>
      <c r="CX28" s="579">
        <v>15.855004000000001</v>
      </c>
      <c r="CY28" s="579">
        <v>12.908116999999999</v>
      </c>
      <c r="CZ28" s="579">
        <v>14.647665999999999</v>
      </c>
      <c r="DA28" s="579">
        <v>14.804164</v>
      </c>
      <c r="DB28" s="579">
        <v>14.531068999999999</v>
      </c>
      <c r="DC28" s="579">
        <v>13.897637000000001</v>
      </c>
      <c r="DD28" s="579">
        <v>15.812321000000001</v>
      </c>
      <c r="DE28" s="579">
        <v>15.847896</v>
      </c>
      <c r="DF28" s="579">
        <v>12.657463</v>
      </c>
      <c r="DG28" s="579">
        <v>14.895508</v>
      </c>
      <c r="DH28" s="579">
        <v>13.550874</v>
      </c>
      <c r="DI28" s="579">
        <v>15.516069999999999</v>
      </c>
      <c r="DJ28" s="579">
        <v>15.012441000000001</v>
      </c>
      <c r="DK28" s="579">
        <f>SUM(CU28:CX28)</f>
        <v>60.621495000000003</v>
      </c>
      <c r="DL28" s="579">
        <f>SUM(DG28:DJ28)</f>
        <v>58.974893000000002</v>
      </c>
      <c r="DM28" s="493">
        <f>((DL28/DK28)-1)*100</f>
        <v>-2.716201571736232</v>
      </c>
    </row>
    <row r="29" spans="1:118" ht="80.099999999999994" customHeight="1">
      <c r="B29" s="680" t="s">
        <v>170</v>
      </c>
      <c r="C29" s="679"/>
      <c r="D29" s="678"/>
      <c r="E29" s="679"/>
      <c r="F29" s="678"/>
      <c r="G29" s="678"/>
      <c r="H29" s="677"/>
      <c r="I29" s="671"/>
      <c r="J29" s="674"/>
      <c r="K29" s="674"/>
      <c r="L29" s="674"/>
      <c r="M29" s="674"/>
      <c r="N29" s="676"/>
      <c r="O29" s="671"/>
      <c r="P29" s="674"/>
      <c r="Q29" s="674"/>
      <c r="R29" s="674"/>
      <c r="S29" s="674"/>
      <c r="T29" s="674"/>
      <c r="U29" s="674"/>
      <c r="V29" s="674"/>
      <c r="W29" s="674"/>
      <c r="X29" s="671"/>
      <c r="Y29" s="674"/>
      <c r="Z29" s="675"/>
      <c r="AA29" s="672"/>
      <c r="AB29" s="675"/>
      <c r="AC29" s="674"/>
      <c r="AD29" s="674"/>
      <c r="AE29" s="675"/>
      <c r="AF29" s="674"/>
      <c r="AG29" s="674"/>
      <c r="AH29" s="674"/>
      <c r="AI29" s="674"/>
      <c r="AJ29" s="674"/>
      <c r="AK29" s="674"/>
      <c r="AL29" s="673"/>
      <c r="AM29" s="672"/>
      <c r="AN29" s="671"/>
      <c r="AO29" s="671"/>
      <c r="AP29" s="671"/>
      <c r="AQ29" s="671"/>
      <c r="AR29" s="671"/>
      <c r="AS29" s="670"/>
      <c r="AT29" s="670"/>
      <c r="AU29" s="670"/>
      <c r="AV29" s="669"/>
      <c r="AW29" s="668"/>
      <c r="AX29" s="667"/>
      <c r="AY29" s="665"/>
      <c r="AZ29" s="665"/>
      <c r="BA29" s="665"/>
      <c r="BB29" s="665"/>
      <c r="BC29" s="665"/>
      <c r="BD29" s="665"/>
      <c r="BE29" s="665"/>
      <c r="BF29" s="665"/>
      <c r="BG29" s="665"/>
      <c r="BH29" s="665"/>
      <c r="BI29" s="665"/>
      <c r="BJ29" s="665"/>
      <c r="BK29" s="665"/>
      <c r="BL29" s="665"/>
      <c r="BM29" s="665"/>
      <c r="BN29" s="665"/>
      <c r="BO29" s="665"/>
      <c r="BP29" s="665"/>
      <c r="BQ29" s="665"/>
      <c r="BR29" s="665"/>
      <c r="BS29" s="665"/>
      <c r="BT29" s="665"/>
      <c r="BU29" s="665"/>
      <c r="BV29" s="665"/>
      <c r="BW29" s="665"/>
      <c r="BX29" s="665"/>
      <c r="BY29" s="665"/>
      <c r="BZ29" s="665"/>
      <c r="CA29" s="665"/>
      <c r="CB29" s="665"/>
      <c r="CC29" s="665"/>
      <c r="CD29" s="665"/>
      <c r="CE29" s="665"/>
      <c r="CF29" s="665"/>
      <c r="CG29" s="665"/>
      <c r="CH29" s="665"/>
      <c r="CI29" s="665"/>
      <c r="CJ29" s="666"/>
      <c r="CK29" s="666"/>
      <c r="CL29" s="666"/>
      <c r="CM29" s="666"/>
      <c r="CN29" s="666"/>
      <c r="CO29" s="666"/>
      <c r="CP29" s="666"/>
      <c r="CQ29" s="666"/>
      <c r="CR29" s="666"/>
      <c r="CS29" s="666"/>
      <c r="CT29" s="666"/>
      <c r="CU29" s="666"/>
      <c r="CV29" s="666"/>
      <c r="CW29" s="666"/>
      <c r="CX29" s="666"/>
      <c r="CY29" s="666"/>
      <c r="CZ29" s="666"/>
      <c r="DA29" s="666"/>
      <c r="DB29" s="666"/>
      <c r="DC29" s="666"/>
      <c r="DD29" s="666"/>
      <c r="DE29" s="666"/>
      <c r="DF29" s="666"/>
      <c r="DG29" s="666"/>
      <c r="DH29" s="666"/>
      <c r="DI29" s="666"/>
      <c r="DJ29" s="666"/>
      <c r="DK29" s="593"/>
      <c r="DL29" s="593"/>
      <c r="DM29" s="665"/>
    </row>
    <row r="30" spans="1:118" s="6" customFormat="1" ht="80.099999999999994" customHeight="1">
      <c r="B30" s="664" t="s">
        <v>169</v>
      </c>
      <c r="C30" s="663">
        <v>11.341169000000001</v>
      </c>
      <c r="D30" s="662">
        <v>9.862406</v>
      </c>
      <c r="E30" s="663">
        <v>10.804050999999999</v>
      </c>
      <c r="F30" s="662">
        <v>10.769033</v>
      </c>
      <c r="G30" s="662">
        <v>11.198387</v>
      </c>
      <c r="H30" s="661">
        <v>11.056102000000001</v>
      </c>
      <c r="I30" s="655">
        <v>11.135406999999999</v>
      </c>
      <c r="J30" s="658">
        <v>10.48293</v>
      </c>
      <c r="K30" s="658">
        <v>10.101424999999999</v>
      </c>
      <c r="L30" s="658">
        <v>10.731093000000001</v>
      </c>
      <c r="M30" s="658">
        <v>10.936114999999999</v>
      </c>
      <c r="N30" s="660">
        <v>11.041675</v>
      </c>
      <c r="O30" s="655">
        <v>11.695173</v>
      </c>
      <c r="P30" s="658">
        <v>10.417437</v>
      </c>
      <c r="Q30" s="658">
        <v>11.688113</v>
      </c>
      <c r="R30" s="658">
        <v>11.202731</v>
      </c>
      <c r="S30" s="658">
        <v>11.712704</v>
      </c>
      <c r="T30" s="658">
        <v>11.351162</v>
      </c>
      <c r="U30" s="658">
        <v>11.366838</v>
      </c>
      <c r="V30" s="658">
        <v>10.928509</v>
      </c>
      <c r="W30" s="658">
        <v>10.645413000000001</v>
      </c>
      <c r="X30" s="655">
        <v>11.404618000000001</v>
      </c>
      <c r="Y30" s="658">
        <v>11.499036</v>
      </c>
      <c r="Z30" s="659">
        <v>11.700825</v>
      </c>
      <c r="AA30" s="656">
        <v>12.499290999999999</v>
      </c>
      <c r="AB30" s="659">
        <v>11.232944999999999</v>
      </c>
      <c r="AC30" s="658">
        <v>11.781936</v>
      </c>
      <c r="AD30" s="658">
        <v>11.569475199999999</v>
      </c>
      <c r="AE30" s="659">
        <v>12.085955199999999</v>
      </c>
      <c r="AF30" s="658">
        <v>11.157267599999994</v>
      </c>
      <c r="AG30" s="658">
        <v>11.699401999999999</v>
      </c>
      <c r="AH30" s="658">
        <v>10.993662</v>
      </c>
      <c r="AI30" s="658">
        <v>10.878314</v>
      </c>
      <c r="AJ30" s="658">
        <v>11.669107300000002</v>
      </c>
      <c r="AK30" s="658">
        <v>11.3747411</v>
      </c>
      <c r="AL30" s="657">
        <v>11.202267600000008</v>
      </c>
      <c r="AM30" s="656">
        <v>12.122531499999999</v>
      </c>
      <c r="AN30" s="655">
        <v>10.492426699999999</v>
      </c>
      <c r="AO30" s="655">
        <v>11.8763012</v>
      </c>
      <c r="AP30" s="655">
        <v>11.497031000000002</v>
      </c>
      <c r="AQ30" s="655">
        <v>11.953486399999999</v>
      </c>
      <c r="AR30" s="655">
        <v>11.763409499999995</v>
      </c>
      <c r="AS30" s="654">
        <v>11.7903989</v>
      </c>
      <c r="AT30" s="654">
        <v>11.141723100000011</v>
      </c>
      <c r="AU30" s="654">
        <v>11.04075590000001</v>
      </c>
      <c r="AV30" s="653">
        <v>12.295843000000001</v>
      </c>
      <c r="AW30" s="652">
        <v>11.875029199999998</v>
      </c>
      <c r="AX30" s="651">
        <v>11.884199799999998</v>
      </c>
      <c r="AY30" s="650">
        <v>12.955446999999999</v>
      </c>
      <c r="AZ30" s="650">
        <v>11.305816</v>
      </c>
      <c r="BA30" s="650">
        <v>12.682116300000001</v>
      </c>
      <c r="BB30" s="650">
        <v>12.407839375</v>
      </c>
      <c r="BC30" s="650">
        <v>12.972621999999999</v>
      </c>
      <c r="BD30" s="650">
        <v>12.030995000000001</v>
      </c>
      <c r="BE30" s="650">
        <v>12.071757</v>
      </c>
      <c r="BF30" s="650">
        <v>12.064092</v>
      </c>
      <c r="BG30" s="650">
        <v>12.032120000000001</v>
      </c>
      <c r="BH30" s="650">
        <v>12.316796999999999</v>
      </c>
      <c r="BI30" s="650">
        <v>12.256435</v>
      </c>
      <c r="BJ30" s="650">
        <v>11.877953</v>
      </c>
      <c r="BK30" s="650">
        <v>12.95473</v>
      </c>
      <c r="BL30" s="650">
        <v>11.367902000000001</v>
      </c>
      <c r="BM30" s="650">
        <v>12.471584999999999</v>
      </c>
      <c r="BN30" s="650">
        <v>12.216418000000001</v>
      </c>
      <c r="BO30" s="650">
        <v>12.566959000000001</v>
      </c>
      <c r="BP30" s="650">
        <v>12.039911999999999</v>
      </c>
      <c r="BQ30" s="650">
        <v>12.775905</v>
      </c>
      <c r="BR30" s="650">
        <v>12.219628</v>
      </c>
      <c r="BS30" s="650">
        <v>11.817166</v>
      </c>
      <c r="BT30" s="650">
        <v>13.147187000000001</v>
      </c>
      <c r="BU30" s="650">
        <v>12.292496</v>
      </c>
      <c r="BV30" s="650">
        <v>12.687816</v>
      </c>
      <c r="BW30" s="650">
        <v>13.535273</v>
      </c>
      <c r="BX30" s="649">
        <v>12.215842</v>
      </c>
      <c r="BY30" s="649">
        <v>13.201226</v>
      </c>
      <c r="BZ30" s="649">
        <v>12.489190000000001</v>
      </c>
      <c r="CA30" s="649">
        <v>13.234139000000001</v>
      </c>
      <c r="CB30" s="649">
        <v>12.943721</v>
      </c>
      <c r="CC30" s="649">
        <v>12.81874</v>
      </c>
      <c r="CD30" s="649">
        <v>12.650931</v>
      </c>
      <c r="CE30" s="649">
        <v>12.121009000000001</v>
      </c>
      <c r="CF30" s="649">
        <v>13.284272</v>
      </c>
      <c r="CG30" s="649">
        <v>12.510300000000001</v>
      </c>
      <c r="CH30" s="649">
        <v>12.863253</v>
      </c>
      <c r="CI30" s="649">
        <v>13.536917000000001</v>
      </c>
      <c r="CJ30" s="649">
        <v>12.2102162</v>
      </c>
      <c r="CK30" s="649">
        <v>13.375698999999999</v>
      </c>
      <c r="CL30" s="649">
        <v>13.072798000000001</v>
      </c>
      <c r="CM30" s="649">
        <v>13.852817999999999</v>
      </c>
      <c r="CN30" s="649">
        <v>13.443733999999999</v>
      </c>
      <c r="CO30" s="649">
        <v>13.673819999999999</v>
      </c>
      <c r="CP30" s="649">
        <v>13.18948</v>
      </c>
      <c r="CQ30" s="649">
        <v>10.715045999999999</v>
      </c>
      <c r="CR30" s="649">
        <v>12.689085</v>
      </c>
      <c r="CS30" s="649">
        <v>12.726229</v>
      </c>
      <c r="CT30" s="649">
        <v>12.336586475000001</v>
      </c>
      <c r="CU30" s="649">
        <v>13.76141095</v>
      </c>
      <c r="CV30" s="649">
        <v>12.371116000000001</v>
      </c>
      <c r="CW30" s="649">
        <v>13.60287245</v>
      </c>
      <c r="CX30" s="649">
        <v>13.53446175</v>
      </c>
      <c r="CY30" s="649">
        <v>14.122372</v>
      </c>
      <c r="CZ30" s="649">
        <v>13.6760986</v>
      </c>
      <c r="DA30" s="649">
        <v>14.18788565</v>
      </c>
      <c r="DB30" s="649">
        <v>13.842005350000001</v>
      </c>
      <c r="DC30" s="649">
        <v>13.4246453</v>
      </c>
      <c r="DD30" s="649">
        <v>14.458210599999999</v>
      </c>
      <c r="DE30" s="649">
        <v>13.882471049999999</v>
      </c>
      <c r="DF30" s="649">
        <v>13.988586700000001</v>
      </c>
      <c r="DG30" s="649">
        <v>15.013669999999999</v>
      </c>
      <c r="DH30" s="649">
        <v>13.13409925</v>
      </c>
      <c r="DI30" s="649">
        <v>14.4831954</v>
      </c>
      <c r="DJ30" s="649">
        <v>14.138984199999999</v>
      </c>
      <c r="DK30" s="493">
        <f>SUM(CU30:CX30)</f>
        <v>53.269861149999997</v>
      </c>
      <c r="DL30" s="493">
        <f>SUM(DG30:DJ30)</f>
        <v>56.769948849999992</v>
      </c>
      <c r="DM30" s="649">
        <f>((DL30/DK30)-1)*100</f>
        <v>6.5704839930861958</v>
      </c>
      <c r="DN30" s="648"/>
    </row>
    <row r="31" spans="1:118" ht="80.099999999999994" customHeight="1" thickBot="1">
      <c r="B31" s="585" t="s">
        <v>168</v>
      </c>
      <c r="C31" s="645"/>
      <c r="D31" s="647">
        <v>16.808838999999999</v>
      </c>
      <c r="E31" s="645">
        <v>0</v>
      </c>
      <c r="F31" s="647">
        <v>17.236262999999997</v>
      </c>
      <c r="G31" s="647">
        <v>0</v>
      </c>
      <c r="H31" s="642">
        <v>17.920596</v>
      </c>
      <c r="I31" s="641">
        <v>0</v>
      </c>
      <c r="J31" s="644">
        <v>17.207542</v>
      </c>
      <c r="K31" s="644">
        <v>0</v>
      </c>
      <c r="L31" s="644">
        <v>17.008616000000004</v>
      </c>
      <c r="M31" s="644">
        <v>0</v>
      </c>
      <c r="N31" s="646">
        <v>17.496259999999999</v>
      </c>
      <c r="O31" s="641">
        <v>0</v>
      </c>
      <c r="P31" s="644">
        <v>17.202008999999997</v>
      </c>
      <c r="Q31" s="644">
        <v>0</v>
      </c>
      <c r="R31" s="644">
        <v>17.968486120000001</v>
      </c>
      <c r="S31" s="644">
        <v>0</v>
      </c>
      <c r="T31" s="644">
        <v>18.061358219999999</v>
      </c>
      <c r="U31" s="644">
        <v>0</v>
      </c>
      <c r="V31" s="644">
        <v>17.840604649999996</v>
      </c>
      <c r="W31" s="644">
        <v>0</v>
      </c>
      <c r="X31" s="641">
        <v>18.499164</v>
      </c>
      <c r="Y31" s="644">
        <v>0</v>
      </c>
      <c r="Z31" s="645">
        <v>18.599710427691427</v>
      </c>
      <c r="AA31" s="642">
        <v>9.9527397473471471</v>
      </c>
      <c r="AB31" s="645">
        <v>8.9511400733672684</v>
      </c>
      <c r="AC31" s="644">
        <v>9.1682036203148627</v>
      </c>
      <c r="AD31" s="644">
        <v>9.2571064966148136</v>
      </c>
      <c r="AE31" s="645">
        <v>9.7079806673115208</v>
      </c>
      <c r="AF31" s="644">
        <v>8.948420395044387</v>
      </c>
      <c r="AG31" s="644">
        <v>9.2218856940330785</v>
      </c>
      <c r="AH31" s="644">
        <v>8.7721993590404388</v>
      </c>
      <c r="AI31" s="644">
        <v>8.6263999469264885</v>
      </c>
      <c r="AJ31" s="644">
        <v>9.3158463487280638</v>
      </c>
      <c r="AK31" s="644">
        <v>9.0510946038840689</v>
      </c>
      <c r="AL31" s="643">
        <v>9.6149710473878685</v>
      </c>
      <c r="AM31" s="642">
        <v>9.8431106149968404</v>
      </c>
      <c r="AN31" s="641">
        <v>8.5250072778576236</v>
      </c>
      <c r="AO31" s="641">
        <v>9.174129420787029</v>
      </c>
      <c r="AP31" s="641">
        <v>9.1591553763178695</v>
      </c>
      <c r="AQ31" s="641">
        <v>9.5403661970406368</v>
      </c>
      <c r="AR31" s="641">
        <v>8.3418751130000004</v>
      </c>
      <c r="AS31" s="640">
        <v>9.2574955183204359</v>
      </c>
      <c r="AT31" s="640">
        <v>8.7855298656957146</v>
      </c>
      <c r="AU31" s="640">
        <v>9.4750986159838479</v>
      </c>
      <c r="AV31" s="639">
        <v>9.7228694754810547</v>
      </c>
      <c r="AW31" s="638">
        <v>9.3585004641540941</v>
      </c>
      <c r="AX31" s="599">
        <v>9.5501540603648305</v>
      </c>
      <c r="AY31" s="579">
        <v>10.275378316592043</v>
      </c>
      <c r="AZ31" s="579">
        <v>8.9160348921857882</v>
      </c>
      <c r="BA31" s="579">
        <v>9.9541190000000004</v>
      </c>
      <c r="BB31" s="579">
        <v>9.7608210401120203</v>
      </c>
      <c r="BC31" s="579">
        <v>10.159215</v>
      </c>
      <c r="BD31" s="579">
        <v>8.9913080000000001</v>
      </c>
      <c r="BE31" s="579">
        <v>9.4402559999999998</v>
      </c>
      <c r="BF31" s="579">
        <v>9.4462499999999991</v>
      </c>
      <c r="BG31" s="579">
        <v>9.3330629999999992</v>
      </c>
      <c r="BH31" s="579">
        <v>9.6154510000000002</v>
      </c>
      <c r="BI31" s="579">
        <v>9.7489849999999993</v>
      </c>
      <c r="BJ31" s="579">
        <v>10.363198000000001</v>
      </c>
      <c r="BK31" s="579">
        <v>10.225168</v>
      </c>
      <c r="BL31" s="579">
        <v>8.9939630000000008</v>
      </c>
      <c r="BM31" s="579">
        <v>9.8624480000000005</v>
      </c>
      <c r="BN31" s="579">
        <v>9.7015469999999997</v>
      </c>
      <c r="BO31" s="579">
        <v>10.003602000000001</v>
      </c>
      <c r="BP31" s="579">
        <v>9.5241360000000004</v>
      </c>
      <c r="BQ31" s="579">
        <v>10.318695999999999</v>
      </c>
      <c r="BR31" s="579">
        <v>9.6688279999999995</v>
      </c>
      <c r="BS31" s="579">
        <v>9.4419760000000004</v>
      </c>
      <c r="BT31" s="579">
        <v>10.510895</v>
      </c>
      <c r="BU31" s="579">
        <v>9.8676119999999994</v>
      </c>
      <c r="BV31" s="579">
        <v>10.683187</v>
      </c>
      <c r="BW31" s="579">
        <v>10.827961999999999</v>
      </c>
      <c r="BX31" s="579">
        <v>9.7673749999999995</v>
      </c>
      <c r="BY31" s="579">
        <v>10.210850000000001</v>
      </c>
      <c r="BZ31" s="579">
        <v>9.9198710000000005</v>
      </c>
      <c r="CA31" s="579">
        <v>10.482953999999999</v>
      </c>
      <c r="CB31" s="579">
        <v>10.438302</v>
      </c>
      <c r="CC31" s="579">
        <v>10.241284</v>
      </c>
      <c r="CD31" s="579">
        <v>10.012166000000001</v>
      </c>
      <c r="CE31" s="579">
        <v>9.4377019999999998</v>
      </c>
      <c r="CF31" s="579">
        <v>10.595369</v>
      </c>
      <c r="CG31" s="579">
        <v>9.9821139999999993</v>
      </c>
      <c r="CH31" s="579">
        <v>11.168202000000001</v>
      </c>
      <c r="CI31" s="579">
        <v>10.857262</v>
      </c>
      <c r="CJ31" s="579">
        <v>9.736458871602597</v>
      </c>
      <c r="CK31" s="579">
        <v>10.168335772587501</v>
      </c>
      <c r="CL31" s="579">
        <v>10.366955644852901</v>
      </c>
      <c r="CM31" s="579">
        <v>10.935106693393401</v>
      </c>
      <c r="CN31" s="579">
        <v>10.628119064110701</v>
      </c>
      <c r="CO31" s="579">
        <v>10.909287204345</v>
      </c>
      <c r="CP31" s="579">
        <v>10.442501656687</v>
      </c>
      <c r="CQ31" s="579">
        <v>8.8037248439160702</v>
      </c>
      <c r="CR31" s="579">
        <v>9.9889968078180402</v>
      </c>
      <c r="CS31" s="579">
        <v>10.128132804071599</v>
      </c>
      <c r="CT31" s="579">
        <v>11.192435880967</v>
      </c>
      <c r="CU31" s="579">
        <v>10.889081157531599</v>
      </c>
      <c r="CV31" s="579">
        <v>9.8899332998209601</v>
      </c>
      <c r="CW31" s="579">
        <v>10.685233189864899</v>
      </c>
      <c r="CX31" s="579">
        <v>10.773658097100199</v>
      </c>
      <c r="CY31" s="579">
        <v>11.2762048241614</v>
      </c>
      <c r="CZ31" s="579">
        <v>10.9955609190906</v>
      </c>
      <c r="DA31" s="579">
        <v>11.35030852</v>
      </c>
      <c r="DB31" s="579">
        <v>11.0736515891568</v>
      </c>
      <c r="DC31" s="579">
        <v>10.925387127806999</v>
      </c>
      <c r="DD31" s="579">
        <v>11.535263658642</v>
      </c>
      <c r="DE31" s="579">
        <v>11.132199699451901</v>
      </c>
      <c r="DF31" s="579">
        <v>11.9110590909773</v>
      </c>
      <c r="DG31" s="579">
        <v>12.074161462336701</v>
      </c>
      <c r="DH31" s="579">
        <v>10.543874971499401</v>
      </c>
      <c r="DI31" s="579">
        <v>11.2929655602582</v>
      </c>
      <c r="DJ31" s="579">
        <v>11.364666979885399</v>
      </c>
      <c r="DK31" s="579">
        <f>SUM(CU31:CX31)</f>
        <v>42.237905744317658</v>
      </c>
      <c r="DL31" s="579">
        <f>SUM(DG31:DJ31)</f>
        <v>45.275668973979705</v>
      </c>
      <c r="DM31" s="579">
        <f>((DL31/DK31)-1)*100</f>
        <v>7.1920308929396271</v>
      </c>
    </row>
    <row r="32" spans="1:118" ht="80.099999999999994" customHeight="1">
      <c r="B32" s="575" t="s">
        <v>167</v>
      </c>
      <c r="C32" s="567"/>
      <c r="D32" s="567"/>
      <c r="E32" s="567"/>
      <c r="F32" s="567"/>
      <c r="G32" s="567"/>
      <c r="H32" s="567"/>
      <c r="I32" s="567"/>
      <c r="J32" s="567"/>
      <c r="K32" s="567"/>
      <c r="L32" s="567"/>
      <c r="M32" s="567"/>
      <c r="N32" s="567"/>
      <c r="O32" s="567"/>
      <c r="P32" s="567"/>
      <c r="Q32" s="567"/>
      <c r="R32" s="567"/>
      <c r="S32" s="567"/>
      <c r="T32" s="567"/>
      <c r="U32" s="567"/>
      <c r="V32" s="567"/>
      <c r="W32" s="567"/>
      <c r="X32" s="567"/>
      <c r="Y32" s="567"/>
      <c r="Z32" s="567"/>
      <c r="AA32" s="567"/>
      <c r="AB32" s="567"/>
      <c r="AC32" s="567"/>
      <c r="AD32" s="567"/>
      <c r="AE32" s="567"/>
      <c r="AF32" s="567"/>
      <c r="AG32" s="567"/>
      <c r="AH32" s="567"/>
      <c r="AI32" s="567"/>
      <c r="AJ32" s="567"/>
      <c r="AK32" s="567"/>
      <c r="AL32" s="567"/>
      <c r="AM32" s="567"/>
      <c r="AN32" s="567"/>
      <c r="AO32" s="567"/>
      <c r="AP32" s="567"/>
      <c r="AQ32" s="567"/>
      <c r="AR32" s="567"/>
      <c r="AS32" s="636"/>
      <c r="AT32" s="636"/>
      <c r="AU32" s="636"/>
      <c r="AV32" s="636"/>
      <c r="AW32" s="636"/>
      <c r="AX32" s="636"/>
      <c r="AY32" s="636"/>
      <c r="AZ32" s="636"/>
      <c r="BA32" s="636"/>
      <c r="BB32" s="636"/>
      <c r="BC32" s="636"/>
      <c r="BD32" s="636"/>
      <c r="BE32" s="633"/>
      <c r="BF32" s="633"/>
      <c r="BG32" s="633"/>
      <c r="BH32" s="633"/>
      <c r="BI32" s="633"/>
      <c r="BJ32" s="633"/>
      <c r="BK32" s="633"/>
      <c r="BL32" s="633"/>
      <c r="BM32" s="633"/>
      <c r="BN32" s="633"/>
      <c r="BO32" s="633"/>
      <c r="BP32" s="633"/>
      <c r="BQ32" s="633"/>
      <c r="BR32" s="633"/>
      <c r="BS32" s="633"/>
      <c r="BT32" s="633"/>
      <c r="BU32" s="577"/>
      <c r="BV32" s="633"/>
      <c r="BW32" s="633"/>
      <c r="BX32" s="633"/>
      <c r="BY32" s="633"/>
      <c r="BZ32" s="633"/>
      <c r="CA32" s="633"/>
      <c r="CB32" s="633"/>
      <c r="CC32" s="633"/>
      <c r="CD32" s="633"/>
      <c r="CE32" s="633"/>
      <c r="CF32" s="633"/>
      <c r="CG32" s="633"/>
      <c r="CH32" s="633"/>
      <c r="CI32" s="633"/>
      <c r="CJ32" s="633"/>
      <c r="CK32" s="633"/>
      <c r="CL32" s="633"/>
      <c r="CM32" s="633"/>
      <c r="CN32" s="633"/>
      <c r="CO32" s="633"/>
      <c r="CP32" s="633"/>
      <c r="CQ32" s="633"/>
      <c r="CR32" s="633"/>
      <c r="CS32" s="633"/>
      <c r="CT32" s="633"/>
      <c r="CU32" s="633"/>
      <c r="CV32" s="633"/>
      <c r="CW32" s="633"/>
      <c r="CX32" s="633"/>
      <c r="CY32" s="633"/>
      <c r="CZ32" s="633"/>
      <c r="DA32" s="633"/>
      <c r="DB32" s="633"/>
      <c r="DC32" s="633"/>
      <c r="DD32" s="633"/>
      <c r="DE32" s="633"/>
      <c r="DF32" s="633"/>
      <c r="DG32" s="633"/>
      <c r="DH32" s="633"/>
      <c r="DI32" s="633"/>
      <c r="DJ32" s="633"/>
      <c r="DK32" s="633"/>
      <c r="DL32" s="633"/>
      <c r="DM32" s="633"/>
    </row>
    <row r="33" spans="2:176" ht="64.5" customHeight="1">
      <c r="B33" s="637"/>
      <c r="C33" s="567"/>
      <c r="D33" s="567"/>
      <c r="E33" s="567"/>
      <c r="F33" s="567"/>
      <c r="G33" s="567"/>
      <c r="H33" s="567"/>
      <c r="I33" s="567"/>
      <c r="J33" s="567"/>
      <c r="K33" s="567"/>
      <c r="L33" s="567"/>
      <c r="M33" s="567"/>
      <c r="N33" s="567"/>
      <c r="O33" s="567"/>
      <c r="P33" s="567"/>
      <c r="Q33" s="567"/>
      <c r="R33" s="567"/>
      <c r="S33" s="567"/>
      <c r="T33" s="567"/>
      <c r="U33" s="567"/>
      <c r="V33" s="567"/>
      <c r="W33" s="567"/>
      <c r="X33" s="567"/>
      <c r="Y33" s="567"/>
      <c r="Z33" s="567"/>
      <c r="AA33" s="567"/>
      <c r="AB33" s="567"/>
      <c r="AC33" s="567"/>
      <c r="AD33" s="567"/>
      <c r="AE33" s="567"/>
      <c r="AF33" s="567"/>
      <c r="AG33" s="567"/>
      <c r="AH33" s="567"/>
      <c r="AI33" s="567"/>
      <c r="AJ33" s="567"/>
      <c r="AK33" s="567"/>
      <c r="AL33" s="567"/>
      <c r="AM33" s="567"/>
      <c r="AN33" s="567"/>
      <c r="AO33" s="567"/>
      <c r="AP33" s="567"/>
      <c r="AQ33" s="567"/>
      <c r="AR33" s="567"/>
      <c r="AS33" s="636"/>
      <c r="AT33" s="636"/>
      <c r="AU33" s="636"/>
      <c r="AV33" s="636"/>
      <c r="AW33" s="636"/>
      <c r="AX33" s="636"/>
      <c r="AY33" s="636"/>
      <c r="AZ33" s="636"/>
      <c r="BA33" s="636"/>
      <c r="BB33" s="636"/>
      <c r="BC33" s="636"/>
      <c r="BD33" s="636"/>
      <c r="BE33" s="633"/>
      <c r="BF33" s="633"/>
      <c r="BG33" s="633"/>
      <c r="BH33" s="633"/>
      <c r="BI33" s="633"/>
      <c r="BJ33" s="633"/>
      <c r="BK33" s="633"/>
      <c r="BL33" s="633"/>
      <c r="BM33" s="633"/>
      <c r="BN33" s="633"/>
      <c r="BO33" s="633"/>
      <c r="BP33" s="633"/>
      <c r="BQ33" s="633"/>
      <c r="BR33" s="633"/>
      <c r="BS33" s="633"/>
      <c r="BT33" s="633"/>
      <c r="BU33" s="633"/>
      <c r="BV33" s="633"/>
      <c r="BW33" s="633"/>
      <c r="BX33" s="633"/>
      <c r="BY33" s="633"/>
      <c r="BZ33" s="633"/>
      <c r="CA33" s="633"/>
      <c r="CB33" s="633"/>
      <c r="CC33" s="633"/>
      <c r="CD33" s="633"/>
      <c r="CE33" s="633"/>
      <c r="CF33" s="633"/>
      <c r="CG33" s="633"/>
      <c r="CH33" s="633"/>
      <c r="CI33" s="633"/>
      <c r="CJ33" s="633"/>
      <c r="CK33" s="633"/>
      <c r="CL33" s="633"/>
      <c r="CM33" s="633"/>
      <c r="CN33" s="633"/>
      <c r="CO33" s="633"/>
      <c r="CP33" s="633"/>
      <c r="CQ33" s="633"/>
      <c r="CR33" s="633"/>
      <c r="CS33" s="633"/>
      <c r="CT33" s="633"/>
      <c r="CU33" s="633"/>
      <c r="CV33" s="633"/>
      <c r="CW33" s="633"/>
      <c r="CX33" s="633"/>
      <c r="CY33" s="633"/>
      <c r="CZ33" s="633"/>
      <c r="DA33" s="633"/>
      <c r="DB33" s="633"/>
      <c r="DC33" s="633"/>
      <c r="DD33" s="633"/>
      <c r="DE33" s="633"/>
      <c r="DF33" s="633"/>
      <c r="DG33" s="633"/>
      <c r="DH33" s="633"/>
      <c r="DI33" s="633"/>
      <c r="DJ33" s="633"/>
      <c r="DK33" s="633"/>
      <c r="DL33" s="633"/>
      <c r="DM33" s="633"/>
    </row>
    <row r="34" spans="2:176" ht="64.5" customHeight="1">
      <c r="B34" s="637"/>
      <c r="C34" s="567"/>
      <c r="D34" s="567"/>
      <c r="E34" s="567"/>
      <c r="F34" s="567"/>
      <c r="G34" s="567"/>
      <c r="H34" s="567"/>
      <c r="I34" s="567"/>
      <c r="J34" s="567"/>
      <c r="K34" s="567"/>
      <c r="L34" s="567"/>
      <c r="M34" s="567"/>
      <c r="N34" s="567"/>
      <c r="O34" s="567"/>
      <c r="P34" s="567"/>
      <c r="Q34" s="567"/>
      <c r="R34" s="567"/>
      <c r="S34" s="567"/>
      <c r="T34" s="567"/>
      <c r="U34" s="567"/>
      <c r="V34" s="567"/>
      <c r="W34" s="567"/>
      <c r="X34" s="567"/>
      <c r="Y34" s="567"/>
      <c r="Z34" s="567"/>
      <c r="AA34" s="567"/>
      <c r="AB34" s="567"/>
      <c r="AC34" s="567"/>
      <c r="AD34" s="567"/>
      <c r="AE34" s="567"/>
      <c r="AF34" s="567"/>
      <c r="AG34" s="567"/>
      <c r="AH34" s="567"/>
      <c r="AI34" s="567"/>
      <c r="AJ34" s="567"/>
      <c r="AK34" s="567"/>
      <c r="AL34" s="567"/>
      <c r="AM34" s="567"/>
      <c r="AN34" s="567"/>
      <c r="AO34" s="567"/>
      <c r="AP34" s="567"/>
      <c r="AQ34" s="567"/>
      <c r="AR34" s="567"/>
      <c r="AS34" s="636"/>
      <c r="AT34" s="636"/>
      <c r="AU34" s="636"/>
      <c r="AV34" s="636"/>
      <c r="AW34" s="636"/>
      <c r="AX34" s="636"/>
      <c r="AY34" s="636"/>
      <c r="AZ34" s="636"/>
      <c r="BA34" s="636"/>
      <c r="BB34" s="636"/>
      <c r="BC34" s="636"/>
      <c r="BD34" s="636"/>
      <c r="BE34" s="633"/>
      <c r="BF34" s="633"/>
      <c r="BG34" s="633"/>
      <c r="BH34" s="633"/>
      <c r="BI34" s="633"/>
      <c r="BJ34" s="633"/>
      <c r="BK34" s="633"/>
      <c r="BL34" s="633"/>
      <c r="BM34" s="633"/>
      <c r="BN34" s="633"/>
      <c r="BO34" s="633"/>
      <c r="BP34" s="633"/>
      <c r="BQ34" s="633"/>
      <c r="BR34" s="633"/>
      <c r="BS34" s="633"/>
      <c r="BT34" s="633"/>
      <c r="BU34" s="633"/>
      <c r="BV34" s="633"/>
      <c r="BW34" s="633"/>
      <c r="BX34" s="633"/>
      <c r="BY34" s="633"/>
      <c r="BZ34" s="633"/>
      <c r="CA34" s="633"/>
      <c r="CB34" s="633"/>
      <c r="CC34" s="635"/>
      <c r="CD34" s="633"/>
      <c r="CE34" s="633"/>
      <c r="CF34" s="633"/>
      <c r="CG34" s="633"/>
      <c r="CH34" s="633"/>
      <c r="CI34" s="633"/>
      <c r="CJ34" s="633"/>
      <c r="CK34" s="633"/>
      <c r="CL34" s="633"/>
      <c r="CM34" s="633"/>
      <c r="CN34" s="633"/>
      <c r="CO34" s="633"/>
      <c r="CP34" s="633"/>
      <c r="CQ34" s="633"/>
      <c r="CR34" s="633"/>
      <c r="CS34" s="633"/>
      <c r="CT34" s="633"/>
      <c r="CU34" s="633"/>
      <c r="CV34" s="633"/>
      <c r="CW34" s="633"/>
      <c r="CX34" s="633"/>
      <c r="CY34" s="633"/>
      <c r="CZ34" s="633"/>
      <c r="DA34" s="633"/>
      <c r="DB34" s="633"/>
      <c r="DC34" s="633"/>
      <c r="DD34" s="633"/>
      <c r="DE34" s="633"/>
      <c r="DF34" s="633"/>
      <c r="DG34" s="633"/>
      <c r="DH34" s="633"/>
      <c r="DI34" s="633"/>
      <c r="DJ34" s="633"/>
      <c r="DK34" s="633"/>
      <c r="DL34" s="633"/>
      <c r="DM34" s="633"/>
    </row>
    <row r="35" spans="2:176" ht="80.099999999999994" customHeight="1">
      <c r="B35" s="634" t="s">
        <v>166</v>
      </c>
      <c r="C35" s="568"/>
      <c r="D35" s="568"/>
      <c r="E35" s="568"/>
      <c r="F35" s="568"/>
      <c r="G35" s="568"/>
      <c r="H35" s="568"/>
      <c r="I35" s="568"/>
      <c r="J35" s="568"/>
      <c r="K35" s="568"/>
      <c r="L35" s="568"/>
      <c r="M35" s="568"/>
      <c r="N35" s="568"/>
      <c r="O35" s="568"/>
      <c r="P35" s="568"/>
      <c r="Q35" s="568"/>
      <c r="R35" s="568"/>
      <c r="S35" s="568"/>
      <c r="T35" s="568"/>
      <c r="U35" s="568"/>
      <c r="V35" s="568"/>
      <c r="W35" s="568"/>
      <c r="X35" s="568"/>
      <c r="Y35" s="568"/>
      <c r="Z35" s="568"/>
      <c r="AA35" s="568"/>
      <c r="AB35" s="568"/>
      <c r="AC35" s="568"/>
      <c r="AD35" s="568"/>
      <c r="AE35" s="568"/>
      <c r="AF35" s="568"/>
      <c r="AG35" s="568"/>
      <c r="AH35" s="568"/>
      <c r="AI35" s="568"/>
      <c r="AJ35" s="568"/>
      <c r="AK35" s="568"/>
      <c r="AL35" s="568"/>
      <c r="AM35" s="568"/>
      <c r="AN35" s="568"/>
      <c r="AO35" s="568"/>
      <c r="AP35" s="568"/>
      <c r="AQ35" s="568"/>
      <c r="AR35" s="568"/>
      <c r="AS35" s="568"/>
      <c r="AT35" s="568"/>
      <c r="AU35" s="568"/>
      <c r="AV35" s="568"/>
      <c r="AW35" s="568"/>
      <c r="AX35" s="568"/>
      <c r="AY35" s="568"/>
      <c r="AZ35" s="568"/>
      <c r="BA35" s="568"/>
      <c r="BB35" s="568"/>
      <c r="BC35" s="634"/>
      <c r="BD35" s="634"/>
      <c r="BE35" s="633"/>
      <c r="BF35" s="633"/>
      <c r="BG35" s="633"/>
      <c r="BH35" s="633"/>
      <c r="BI35" s="633"/>
      <c r="BJ35" s="633"/>
      <c r="BK35" s="633"/>
      <c r="BL35" s="633"/>
      <c r="BM35" s="633"/>
      <c r="BN35" s="633"/>
      <c r="BO35" s="633"/>
      <c r="BP35" s="633"/>
      <c r="BQ35" s="633"/>
      <c r="BR35" s="633"/>
      <c r="BS35" s="633"/>
      <c r="BT35" s="633"/>
      <c r="BU35" s="633"/>
      <c r="BV35" s="633"/>
      <c r="BW35" s="633"/>
      <c r="BX35" s="633"/>
      <c r="BY35" s="633"/>
      <c r="BZ35" s="633"/>
      <c r="CA35" s="633"/>
      <c r="CB35" s="633"/>
      <c r="CC35" s="633"/>
      <c r="CD35" s="633"/>
      <c r="CE35" s="633"/>
      <c r="CF35" s="633"/>
      <c r="CG35" s="633"/>
      <c r="CH35" s="633"/>
      <c r="CI35" s="633"/>
      <c r="CJ35" s="633"/>
      <c r="CK35" s="633"/>
      <c r="CL35" s="633"/>
      <c r="CM35" s="633"/>
      <c r="CN35" s="633"/>
      <c r="CO35" s="633"/>
      <c r="CP35" s="633"/>
      <c r="CQ35" s="633"/>
      <c r="CR35" s="633"/>
      <c r="CS35" s="633"/>
      <c r="CT35" s="633"/>
      <c r="CU35" s="633"/>
      <c r="CV35" s="633"/>
      <c r="CW35" s="633"/>
      <c r="CX35" s="633"/>
      <c r="CY35" s="633"/>
      <c r="CZ35" s="633"/>
      <c r="DA35" s="633"/>
      <c r="DB35" s="633"/>
      <c r="DC35" s="633"/>
      <c r="DD35" s="633"/>
      <c r="DE35" s="633"/>
      <c r="DF35" s="633"/>
      <c r="DG35" s="633"/>
      <c r="DH35" s="633"/>
      <c r="DI35" s="633"/>
      <c r="DJ35" s="633"/>
      <c r="DK35" s="633"/>
      <c r="DL35" s="633"/>
      <c r="DM35" s="633"/>
      <c r="DN35" s="632"/>
      <c r="DO35" s="564"/>
      <c r="DP35" s="564"/>
      <c r="DQ35" s="564"/>
      <c r="DR35" s="564"/>
      <c r="DS35" s="564"/>
      <c r="DT35" s="564"/>
      <c r="DU35" s="564"/>
      <c r="DV35" s="564"/>
      <c r="DW35" s="564"/>
      <c r="DX35" s="564"/>
      <c r="DY35" s="564"/>
      <c r="DZ35" s="564"/>
      <c r="EA35" s="564"/>
      <c r="EB35" s="564"/>
      <c r="EC35" s="564"/>
      <c r="ED35" s="564"/>
      <c r="EE35" s="564"/>
      <c r="EF35" s="564"/>
      <c r="EG35" s="564"/>
      <c r="EH35" s="564"/>
      <c r="EI35" s="564"/>
      <c r="EJ35" s="564"/>
      <c r="EK35" s="564"/>
      <c r="EL35" s="564"/>
      <c r="EM35" s="564"/>
      <c r="EN35" s="564"/>
      <c r="EO35" s="564"/>
      <c r="EP35" s="564"/>
      <c r="EQ35" s="564"/>
      <c r="ER35" s="564"/>
      <c r="ES35" s="564"/>
      <c r="ET35" s="564"/>
      <c r="EU35" s="564"/>
      <c r="EV35" s="564"/>
      <c r="EW35" s="564"/>
      <c r="EX35" s="564"/>
      <c r="EY35" s="564"/>
      <c r="EZ35" s="564"/>
      <c r="FA35" s="564"/>
      <c r="FB35" s="564"/>
      <c r="FC35" s="564"/>
      <c r="FD35" s="564"/>
      <c r="FE35" s="564"/>
      <c r="FF35" s="564"/>
      <c r="FG35" s="564"/>
      <c r="FH35" s="564"/>
      <c r="FI35" s="564"/>
      <c r="FJ35" s="564"/>
      <c r="FK35" s="564"/>
      <c r="FL35" s="564"/>
      <c r="FM35" s="564"/>
      <c r="FN35" s="564"/>
      <c r="FO35" s="564"/>
      <c r="FP35" s="564"/>
      <c r="FQ35" s="564"/>
      <c r="FR35" s="564"/>
      <c r="FS35" s="564"/>
    </row>
    <row r="36" spans="2:176" ht="80.099999999999994" customHeight="1" thickBot="1">
      <c r="C36" s="631"/>
      <c r="D36" s="631"/>
      <c r="E36" s="631"/>
      <c r="F36" s="631"/>
      <c r="G36" s="631"/>
      <c r="H36" s="631"/>
      <c r="I36" s="631"/>
      <c r="J36" s="631"/>
      <c r="K36" s="631"/>
      <c r="L36" s="631"/>
      <c r="M36" s="631"/>
      <c r="N36" s="631"/>
      <c r="O36" s="631"/>
      <c r="P36" s="631"/>
      <c r="Q36" s="631"/>
      <c r="R36" s="631"/>
      <c r="S36" s="631"/>
      <c r="T36" s="631"/>
      <c r="U36" s="631"/>
      <c r="V36" s="631"/>
      <c r="W36" s="631"/>
      <c r="X36" s="631"/>
      <c r="Y36" s="631"/>
      <c r="Z36" s="631"/>
      <c r="AA36" s="631"/>
      <c r="AB36" s="631"/>
      <c r="AC36" s="631"/>
      <c r="AD36" s="631"/>
      <c r="AE36" s="631"/>
      <c r="AF36" s="631"/>
      <c r="AG36" s="631"/>
      <c r="AH36" s="631"/>
      <c r="AI36" s="631"/>
      <c r="AJ36" s="631"/>
      <c r="AK36" s="631"/>
      <c r="AL36" s="631"/>
      <c r="AM36" s="631"/>
      <c r="AN36" s="631"/>
      <c r="AO36" s="631"/>
      <c r="AP36" s="631"/>
      <c r="AQ36" s="631"/>
      <c r="AR36" s="631"/>
      <c r="AS36" s="631"/>
      <c r="AT36" s="631"/>
      <c r="AU36" s="631"/>
      <c r="AV36" s="631"/>
      <c r="AW36" s="631"/>
      <c r="AX36" s="631"/>
      <c r="AY36" s="631"/>
      <c r="AZ36" s="631"/>
      <c r="BA36" s="631"/>
      <c r="BB36" s="631"/>
      <c r="BC36" s="631"/>
      <c r="BD36" s="631"/>
      <c r="BE36" s="631"/>
      <c r="BF36" s="631"/>
      <c r="BG36" s="631"/>
      <c r="BH36" s="631"/>
      <c r="BI36" s="631"/>
      <c r="BJ36" s="631"/>
      <c r="BK36" s="631"/>
      <c r="BL36" s="631"/>
      <c r="BM36" s="631"/>
      <c r="BN36" s="631"/>
      <c r="BO36" s="631"/>
      <c r="BP36" s="631"/>
      <c r="BQ36" s="631"/>
      <c r="BR36" s="631"/>
      <c r="BS36" s="631"/>
      <c r="BT36" s="631"/>
      <c r="BU36" s="631"/>
      <c r="BV36" s="631"/>
      <c r="BW36" s="631"/>
      <c r="BX36" s="631"/>
      <c r="BY36" s="631"/>
      <c r="BZ36" s="631"/>
      <c r="CA36" s="631"/>
      <c r="CB36" s="631"/>
      <c r="CC36" s="631"/>
      <c r="CD36" s="631"/>
      <c r="CE36" s="631"/>
      <c r="CF36" s="631"/>
      <c r="CG36" s="631"/>
      <c r="CH36" s="631"/>
      <c r="CI36" s="631"/>
      <c r="CJ36" s="631"/>
      <c r="CK36" s="631"/>
      <c r="CL36" s="631"/>
      <c r="CM36" s="631"/>
      <c r="CN36" s="631"/>
      <c r="CO36" s="631"/>
      <c r="CP36" s="631"/>
      <c r="CQ36" s="631"/>
      <c r="CR36" s="631"/>
      <c r="CS36" s="631"/>
      <c r="CT36" s="631"/>
      <c r="CU36" s="631"/>
      <c r="CV36" s="631"/>
      <c r="CW36" s="631"/>
      <c r="CX36" s="631"/>
      <c r="CY36" s="631"/>
      <c r="CZ36" s="631"/>
      <c r="DA36" s="631"/>
      <c r="DB36" s="631"/>
      <c r="DC36" s="631"/>
      <c r="DD36" s="631"/>
      <c r="DE36" s="631"/>
      <c r="DF36" s="631"/>
      <c r="DG36" s="631"/>
      <c r="DH36" s="631"/>
      <c r="DI36" s="631"/>
      <c r="DJ36" s="631"/>
      <c r="DK36" s="630"/>
      <c r="DL36" s="630"/>
      <c r="DM36" s="630"/>
      <c r="DN36" s="629"/>
      <c r="DO36" s="564"/>
      <c r="DP36" s="564"/>
      <c r="DQ36" s="564"/>
      <c r="DR36" s="564"/>
      <c r="DS36" s="564"/>
      <c r="DT36" s="564"/>
      <c r="DU36" s="564"/>
      <c r="DV36" s="564"/>
      <c r="DW36" s="564"/>
      <c r="DX36" s="564"/>
      <c r="DY36" s="564"/>
      <c r="DZ36" s="564"/>
      <c r="EA36" s="564"/>
      <c r="EB36" s="564"/>
      <c r="EC36" s="564"/>
      <c r="ED36" s="564"/>
      <c r="EE36" s="564"/>
      <c r="EF36" s="564"/>
      <c r="EG36" s="564"/>
      <c r="EH36" s="564"/>
      <c r="EI36" s="564"/>
      <c r="EJ36" s="564"/>
      <c r="EK36" s="564"/>
      <c r="EL36" s="564"/>
      <c r="EM36" s="564"/>
      <c r="EN36" s="564"/>
      <c r="EO36" s="564"/>
      <c r="EP36" s="564"/>
      <c r="EQ36" s="564"/>
      <c r="ER36" s="564"/>
      <c r="ES36" s="564"/>
      <c r="ET36" s="564"/>
      <c r="EU36" s="564"/>
      <c r="EV36" s="564"/>
      <c r="EW36" s="564"/>
      <c r="EX36" s="564"/>
      <c r="EY36" s="564"/>
      <c r="EZ36" s="564"/>
      <c r="FA36" s="564"/>
      <c r="FB36" s="564"/>
      <c r="FC36" s="564"/>
      <c r="FD36" s="564"/>
      <c r="FE36" s="564"/>
      <c r="FF36" s="564"/>
      <c r="FG36" s="564"/>
      <c r="FH36" s="564"/>
      <c r="FI36" s="564"/>
      <c r="FJ36" s="564"/>
      <c r="FK36" s="564"/>
      <c r="FL36" s="564"/>
      <c r="FM36" s="564"/>
      <c r="FN36" s="564"/>
      <c r="FO36" s="564"/>
      <c r="FP36" s="564"/>
      <c r="FQ36" s="564"/>
      <c r="FR36" s="564"/>
      <c r="FS36" s="564"/>
      <c r="FT36" s="339"/>
    </row>
    <row r="37" spans="2:176" ht="80.099999999999994" customHeight="1">
      <c r="B37" s="628"/>
      <c r="C37" s="627"/>
      <c r="D37" s="627"/>
      <c r="E37" s="627"/>
      <c r="F37" s="627"/>
      <c r="G37" s="627"/>
      <c r="H37" s="627"/>
      <c r="I37" s="627"/>
      <c r="J37" s="627"/>
      <c r="K37" s="864">
        <v>2006</v>
      </c>
      <c r="L37" s="865"/>
      <c r="M37" s="865"/>
      <c r="N37" s="866"/>
      <c r="O37" s="867">
        <v>2007</v>
      </c>
      <c r="P37" s="868"/>
      <c r="Q37" s="868"/>
      <c r="R37" s="868"/>
      <c r="S37" s="868"/>
      <c r="T37" s="868"/>
      <c r="U37" s="868"/>
      <c r="V37" s="868"/>
      <c r="W37" s="868"/>
      <c r="X37" s="868"/>
      <c r="Y37" s="868"/>
      <c r="Z37" s="868"/>
      <c r="AA37" s="867">
        <v>2008</v>
      </c>
      <c r="AB37" s="868"/>
      <c r="AC37" s="868"/>
      <c r="AD37" s="868"/>
      <c r="AE37" s="868"/>
      <c r="AF37" s="868"/>
      <c r="AG37" s="868"/>
      <c r="AH37" s="868"/>
      <c r="AI37" s="868"/>
      <c r="AJ37" s="868"/>
      <c r="AK37" s="868"/>
      <c r="AL37" s="868"/>
      <c r="AM37" s="626">
        <v>2009</v>
      </c>
      <c r="AN37" s="625"/>
      <c r="AO37" s="625"/>
      <c r="AP37" s="625"/>
      <c r="AQ37" s="625"/>
      <c r="AR37" s="625"/>
      <c r="AS37" s="857">
        <v>2009</v>
      </c>
      <c r="AT37" s="871">
        <v>2009</v>
      </c>
      <c r="AU37" s="812">
        <v>2009</v>
      </c>
      <c r="AV37" s="812">
        <v>2009</v>
      </c>
      <c r="AW37" s="812">
        <v>2009</v>
      </c>
      <c r="AX37" s="812">
        <v>2009</v>
      </c>
      <c r="AY37" s="624"/>
      <c r="AZ37" s="624"/>
      <c r="BA37" s="826">
        <v>2010</v>
      </c>
      <c r="BB37" s="824">
        <v>2010</v>
      </c>
      <c r="BC37" s="812">
        <v>2010</v>
      </c>
      <c r="BD37" s="812">
        <v>2010</v>
      </c>
      <c r="BE37" s="812">
        <v>2010</v>
      </c>
      <c r="BF37" s="824">
        <v>2010</v>
      </c>
      <c r="BG37" s="623"/>
      <c r="BH37" s="808">
        <v>2010</v>
      </c>
      <c r="BI37" s="802">
        <v>2010</v>
      </c>
      <c r="BJ37" s="804"/>
      <c r="BK37" s="456">
        <v>2011</v>
      </c>
      <c r="BL37" s="455"/>
      <c r="BM37" s="808">
        <v>2011</v>
      </c>
      <c r="BN37" s="808"/>
      <c r="BO37" s="808"/>
      <c r="BP37" s="808">
        <v>2011</v>
      </c>
      <c r="BQ37" s="808">
        <v>2011</v>
      </c>
      <c r="BR37" s="808">
        <v>2011</v>
      </c>
      <c r="BS37" s="808">
        <v>2011</v>
      </c>
      <c r="BT37" s="808"/>
      <c r="BU37" s="808">
        <v>2011</v>
      </c>
      <c r="BV37" s="808">
        <v>2011</v>
      </c>
      <c r="BW37" s="802">
        <v>2012</v>
      </c>
      <c r="BX37" s="803"/>
      <c r="BY37" s="803"/>
      <c r="BZ37" s="803"/>
      <c r="CA37" s="803"/>
      <c r="CB37" s="803"/>
      <c r="CC37" s="803"/>
      <c r="CD37" s="803"/>
      <c r="CE37" s="803"/>
      <c r="CF37" s="803"/>
      <c r="CG37" s="803"/>
      <c r="CH37" s="804"/>
      <c r="CI37" s="802">
        <v>2013</v>
      </c>
      <c r="CJ37" s="803"/>
      <c r="CK37" s="803"/>
      <c r="CL37" s="803"/>
      <c r="CM37" s="803"/>
      <c r="CN37" s="803"/>
      <c r="CO37" s="803"/>
      <c r="CP37" s="803"/>
      <c r="CQ37" s="803"/>
      <c r="CR37" s="803"/>
      <c r="CS37" s="803"/>
      <c r="CT37" s="804"/>
      <c r="CU37" s="802">
        <v>2014</v>
      </c>
      <c r="CV37" s="803"/>
      <c r="CW37" s="803"/>
      <c r="CX37" s="803"/>
      <c r="CY37" s="803"/>
      <c r="CZ37" s="803"/>
      <c r="DA37" s="803"/>
      <c r="DB37" s="803"/>
      <c r="DC37" s="803"/>
      <c r="DD37" s="803"/>
      <c r="DE37" s="803"/>
      <c r="DF37" s="804"/>
      <c r="DG37" s="802">
        <v>2015</v>
      </c>
      <c r="DH37" s="803"/>
      <c r="DI37" s="803"/>
      <c r="DJ37" s="804"/>
      <c r="DK37" s="826" t="s">
        <v>149</v>
      </c>
      <c r="DL37" s="873"/>
      <c r="DM37" s="873" t="s">
        <v>123</v>
      </c>
    </row>
    <row r="38" spans="2:176" ht="80.099999999999994" customHeight="1" thickBot="1">
      <c r="B38" s="622"/>
      <c r="C38" s="621"/>
      <c r="D38" s="621"/>
      <c r="E38" s="621"/>
      <c r="F38" s="621"/>
      <c r="G38" s="621"/>
      <c r="H38" s="621"/>
      <c r="I38" s="621"/>
      <c r="J38" s="621"/>
      <c r="K38" s="620"/>
      <c r="L38" s="619"/>
      <c r="M38" s="619"/>
      <c r="N38" s="618"/>
      <c r="O38" s="869"/>
      <c r="P38" s="870"/>
      <c r="Q38" s="870"/>
      <c r="R38" s="870"/>
      <c r="S38" s="870"/>
      <c r="T38" s="870"/>
      <c r="U38" s="870"/>
      <c r="V38" s="870"/>
      <c r="W38" s="870"/>
      <c r="X38" s="870"/>
      <c r="Y38" s="870"/>
      <c r="Z38" s="870"/>
      <c r="AA38" s="869"/>
      <c r="AB38" s="870"/>
      <c r="AC38" s="870"/>
      <c r="AD38" s="870"/>
      <c r="AE38" s="870"/>
      <c r="AF38" s="870"/>
      <c r="AG38" s="870"/>
      <c r="AH38" s="870"/>
      <c r="AI38" s="870"/>
      <c r="AJ38" s="870"/>
      <c r="AK38" s="870"/>
      <c r="AL38" s="870"/>
      <c r="AM38" s="617"/>
      <c r="AN38" s="616"/>
      <c r="AO38" s="616"/>
      <c r="AP38" s="616"/>
      <c r="AQ38" s="616"/>
      <c r="AR38" s="616"/>
      <c r="AS38" s="858"/>
      <c r="AT38" s="872"/>
      <c r="AU38" s="813"/>
      <c r="AV38" s="813"/>
      <c r="AW38" s="813"/>
      <c r="AX38" s="813"/>
      <c r="AY38" s="615"/>
      <c r="AZ38" s="615"/>
      <c r="BA38" s="827"/>
      <c r="BB38" s="825"/>
      <c r="BC38" s="813"/>
      <c r="BD38" s="813"/>
      <c r="BE38" s="813"/>
      <c r="BF38" s="825"/>
      <c r="BG38" s="614"/>
      <c r="BH38" s="809"/>
      <c r="BI38" s="805"/>
      <c r="BJ38" s="807"/>
      <c r="BK38" s="450"/>
      <c r="BL38" s="449"/>
      <c r="BM38" s="809"/>
      <c r="BN38" s="809"/>
      <c r="BO38" s="809"/>
      <c r="BP38" s="809"/>
      <c r="BQ38" s="809"/>
      <c r="BR38" s="809"/>
      <c r="BS38" s="809"/>
      <c r="BT38" s="809"/>
      <c r="BU38" s="809"/>
      <c r="BV38" s="809"/>
      <c r="BW38" s="805"/>
      <c r="BX38" s="806"/>
      <c r="BY38" s="806"/>
      <c r="BZ38" s="806"/>
      <c r="CA38" s="806"/>
      <c r="CB38" s="806"/>
      <c r="CC38" s="806"/>
      <c r="CD38" s="806"/>
      <c r="CE38" s="806"/>
      <c r="CF38" s="806"/>
      <c r="CG38" s="806"/>
      <c r="CH38" s="807"/>
      <c r="CI38" s="805"/>
      <c r="CJ38" s="806"/>
      <c r="CK38" s="806"/>
      <c r="CL38" s="806"/>
      <c r="CM38" s="806"/>
      <c r="CN38" s="806"/>
      <c r="CO38" s="806"/>
      <c r="CP38" s="806"/>
      <c r="CQ38" s="806"/>
      <c r="CR38" s="806"/>
      <c r="CS38" s="806"/>
      <c r="CT38" s="807"/>
      <c r="CU38" s="805"/>
      <c r="CV38" s="806"/>
      <c r="CW38" s="806"/>
      <c r="CX38" s="806"/>
      <c r="CY38" s="806"/>
      <c r="CZ38" s="806"/>
      <c r="DA38" s="806"/>
      <c r="DB38" s="806"/>
      <c r="DC38" s="806"/>
      <c r="DD38" s="806"/>
      <c r="DE38" s="806"/>
      <c r="DF38" s="807"/>
      <c r="DG38" s="805"/>
      <c r="DH38" s="806"/>
      <c r="DI38" s="806"/>
      <c r="DJ38" s="807"/>
      <c r="DK38" s="827"/>
      <c r="DL38" s="874"/>
      <c r="DM38" s="874"/>
    </row>
    <row r="39" spans="2:176" ht="80.099999999999994" customHeight="1" thickBot="1">
      <c r="B39" s="613" t="s">
        <v>165</v>
      </c>
      <c r="C39" s="612" t="s">
        <v>2</v>
      </c>
      <c r="D39" s="611" t="s">
        <v>148</v>
      </c>
      <c r="E39" s="611" t="s">
        <v>147</v>
      </c>
      <c r="F39" s="611" t="s">
        <v>146</v>
      </c>
      <c r="G39" s="611" t="s">
        <v>145</v>
      </c>
      <c r="H39" s="611" t="s">
        <v>144</v>
      </c>
      <c r="I39" s="611" t="s">
        <v>143</v>
      </c>
      <c r="J39" s="611" t="s">
        <v>142</v>
      </c>
      <c r="K39" s="612" t="s">
        <v>141</v>
      </c>
      <c r="L39" s="611" t="s">
        <v>140</v>
      </c>
      <c r="M39" s="611" t="s">
        <v>139</v>
      </c>
      <c r="N39" s="611" t="s">
        <v>138</v>
      </c>
      <c r="O39" s="611" t="s">
        <v>14</v>
      </c>
      <c r="P39" s="611" t="s">
        <v>164</v>
      </c>
      <c r="Q39" s="611" t="s">
        <v>163</v>
      </c>
      <c r="R39" s="611" t="s">
        <v>162</v>
      </c>
      <c r="S39" s="611" t="s">
        <v>161</v>
      </c>
      <c r="T39" s="609" t="s">
        <v>160</v>
      </c>
      <c r="U39" s="611" t="s">
        <v>159</v>
      </c>
      <c r="V39" s="611" t="s">
        <v>158</v>
      </c>
      <c r="W39" s="610" t="s">
        <v>10</v>
      </c>
      <c r="X39" s="610" t="s">
        <v>11</v>
      </c>
      <c r="Y39" s="608" t="s">
        <v>12</v>
      </c>
      <c r="Z39" s="608" t="s">
        <v>13</v>
      </c>
      <c r="AA39" s="609" t="s">
        <v>15</v>
      </c>
      <c r="AB39" s="608" t="s">
        <v>3</v>
      </c>
      <c r="AC39" s="608" t="s">
        <v>4</v>
      </c>
      <c r="AD39" s="608" t="s">
        <v>5</v>
      </c>
      <c r="AE39" s="608" t="s">
        <v>6</v>
      </c>
      <c r="AF39" s="609" t="s">
        <v>16</v>
      </c>
      <c r="AG39" s="608" t="s">
        <v>17</v>
      </c>
      <c r="AH39" s="608" t="s">
        <v>18</v>
      </c>
      <c r="AI39" s="608" t="s">
        <v>10</v>
      </c>
      <c r="AJ39" s="608" t="s">
        <v>11</v>
      </c>
      <c r="AK39" s="608" t="s">
        <v>12</v>
      </c>
      <c r="AL39" s="608" t="s">
        <v>13</v>
      </c>
      <c r="AM39" s="609" t="s">
        <v>19</v>
      </c>
      <c r="AN39" s="608" t="s">
        <v>20</v>
      </c>
      <c r="AO39" s="608" t="s">
        <v>4</v>
      </c>
      <c r="AP39" s="608" t="s">
        <v>5</v>
      </c>
      <c r="AQ39" s="608" t="s">
        <v>6</v>
      </c>
      <c r="AR39" s="608" t="s">
        <v>7</v>
      </c>
      <c r="AS39" s="607" t="s">
        <v>17</v>
      </c>
      <c r="AT39" s="607" t="s">
        <v>18</v>
      </c>
      <c r="AU39" s="607" t="s">
        <v>21</v>
      </c>
      <c r="AV39" s="607" t="s">
        <v>22</v>
      </c>
      <c r="AW39" s="607" t="s">
        <v>23</v>
      </c>
      <c r="AX39" s="607" t="s">
        <v>24</v>
      </c>
      <c r="AY39" s="604" t="s">
        <v>34</v>
      </c>
      <c r="AZ39" s="446" t="s">
        <v>116</v>
      </c>
      <c r="BA39" s="606" t="s">
        <v>26</v>
      </c>
      <c r="BB39" s="604" t="s">
        <v>5</v>
      </c>
      <c r="BC39" s="605" t="s">
        <v>6</v>
      </c>
      <c r="BD39" s="604" t="s">
        <v>7</v>
      </c>
      <c r="BE39" s="605" t="s">
        <v>17</v>
      </c>
      <c r="BF39" s="604" t="s">
        <v>18</v>
      </c>
      <c r="BG39" s="605" t="s">
        <v>21</v>
      </c>
      <c r="BH39" s="604" t="s">
        <v>22</v>
      </c>
      <c r="BI39" s="605" t="s">
        <v>23</v>
      </c>
      <c r="BJ39" s="604" t="s">
        <v>24</v>
      </c>
      <c r="BK39" s="603" t="s">
        <v>115</v>
      </c>
      <c r="BL39" s="602" t="s">
        <v>20</v>
      </c>
      <c r="BM39" s="440">
        <v>40603</v>
      </c>
      <c r="BN39" s="440">
        <v>40634</v>
      </c>
      <c r="BO39" s="602" t="s">
        <v>6</v>
      </c>
      <c r="BP39" s="602" t="s">
        <v>7</v>
      </c>
      <c r="BQ39" s="602" t="s">
        <v>17</v>
      </c>
      <c r="BR39" s="602" t="s">
        <v>18</v>
      </c>
      <c r="BS39" s="602" t="s">
        <v>21</v>
      </c>
      <c r="BT39" s="440" t="s">
        <v>22</v>
      </c>
      <c r="BU39" s="440" t="s">
        <v>23</v>
      </c>
      <c r="BV39" s="440" t="s">
        <v>24</v>
      </c>
      <c r="BW39" s="441" t="s">
        <v>114</v>
      </c>
      <c r="BX39" s="442" t="s">
        <v>20</v>
      </c>
      <c r="BY39" s="442" t="s">
        <v>4</v>
      </c>
      <c r="BZ39" s="442" t="s">
        <v>5</v>
      </c>
      <c r="CA39" s="442" t="s">
        <v>6</v>
      </c>
      <c r="CB39" s="442" t="s">
        <v>7</v>
      </c>
      <c r="CC39" s="442" t="s">
        <v>17</v>
      </c>
      <c r="CD39" s="442" t="s">
        <v>18</v>
      </c>
      <c r="CE39" s="442" t="s">
        <v>21</v>
      </c>
      <c r="CF39" s="442" t="s">
        <v>22</v>
      </c>
      <c r="CG39" s="442" t="s">
        <v>23</v>
      </c>
      <c r="CH39" s="442" t="s">
        <v>24</v>
      </c>
      <c r="CI39" s="442" t="s">
        <v>34</v>
      </c>
      <c r="CJ39" s="442" t="s">
        <v>20</v>
      </c>
      <c r="CK39" s="442" t="s">
        <v>4</v>
      </c>
      <c r="CL39" s="442" t="s">
        <v>5</v>
      </c>
      <c r="CM39" s="442" t="s">
        <v>6</v>
      </c>
      <c r="CN39" s="442" t="s">
        <v>7</v>
      </c>
      <c r="CO39" s="442" t="s">
        <v>17</v>
      </c>
      <c r="CP39" s="442" t="s">
        <v>18</v>
      </c>
      <c r="CQ39" s="442" t="s">
        <v>21</v>
      </c>
      <c r="CR39" s="442" t="s">
        <v>22</v>
      </c>
      <c r="CS39" s="442" t="s">
        <v>23</v>
      </c>
      <c r="CT39" s="442" t="s">
        <v>24</v>
      </c>
      <c r="CU39" s="442" t="s">
        <v>34</v>
      </c>
      <c r="CV39" s="442" t="s">
        <v>20</v>
      </c>
      <c r="CW39" s="442" t="s">
        <v>4</v>
      </c>
      <c r="CX39" s="442" t="s">
        <v>5</v>
      </c>
      <c r="CY39" s="442" t="s">
        <v>6</v>
      </c>
      <c r="CZ39" s="442" t="s">
        <v>7</v>
      </c>
      <c r="DA39" s="442" t="s">
        <v>17</v>
      </c>
      <c r="DB39" s="442" t="s">
        <v>18</v>
      </c>
      <c r="DC39" s="442" t="s">
        <v>21</v>
      </c>
      <c r="DD39" s="442" t="s">
        <v>22</v>
      </c>
      <c r="DE39" s="442" t="s">
        <v>23</v>
      </c>
      <c r="DF39" s="442" t="s">
        <v>24</v>
      </c>
      <c r="DG39" s="442" t="s">
        <v>34</v>
      </c>
      <c r="DH39" s="442" t="s">
        <v>20</v>
      </c>
      <c r="DI39" s="442" t="s">
        <v>4</v>
      </c>
      <c r="DJ39" s="442" t="s">
        <v>5</v>
      </c>
      <c r="DK39" s="441" t="s">
        <v>113</v>
      </c>
      <c r="DL39" s="441" t="s">
        <v>112</v>
      </c>
      <c r="DM39" s="440" t="s">
        <v>111</v>
      </c>
    </row>
    <row r="40" spans="2:176" ht="80.099999999999994" customHeight="1">
      <c r="B40" s="600" t="s">
        <v>132</v>
      </c>
      <c r="C40" s="590">
        <f>137.655+93.5461</f>
        <v>231.2011</v>
      </c>
      <c r="D40" s="590">
        <f>92.2153+139.647</f>
        <v>231.8623</v>
      </c>
      <c r="E40" s="590">
        <f>158.755+101.2842</f>
        <v>260.03919999999999</v>
      </c>
      <c r="F40" s="590">
        <f>181.964+93.2032</f>
        <v>275.16719999999998</v>
      </c>
      <c r="G40" s="590">
        <f>191.072+101.9546</f>
        <v>293.02660000000003</v>
      </c>
      <c r="H40" s="590">
        <f>155.758+98.5608</f>
        <v>254.31880000000001</v>
      </c>
      <c r="I40" s="590">
        <f>101.2427+133.271</f>
        <v>234.51369999999997</v>
      </c>
      <c r="J40" s="590">
        <f>142.314+103.9511</f>
        <v>246.26509999999999</v>
      </c>
      <c r="K40" s="590">
        <f>121.382+96.091</f>
        <v>217.47300000000001</v>
      </c>
      <c r="L40" s="590">
        <f>76.5177+123.391</f>
        <v>199.90870000000001</v>
      </c>
      <c r="M40" s="590">
        <f>138.824+85.3385</f>
        <v>224.16250000000002</v>
      </c>
      <c r="N40" s="590">
        <f>95.969+169.875</f>
        <v>265.84399999999999</v>
      </c>
      <c r="O40" s="590">
        <f>155.983+94.8327</f>
        <v>250.81569999999999</v>
      </c>
      <c r="P40" s="589">
        <f>148.808+89.7297</f>
        <v>238.53769999999997</v>
      </c>
      <c r="Q40" s="588">
        <f>137.341+99.612</f>
        <v>236.953</v>
      </c>
      <c r="R40" s="588">
        <f>174.258+96.9052</f>
        <v>271.16320000000002</v>
      </c>
      <c r="S40" s="588">
        <f>90.3906+161.549</f>
        <v>251.93960000000001</v>
      </c>
      <c r="T40" s="588">
        <f>174.751+66.7315</f>
        <v>241.48250000000002</v>
      </c>
      <c r="U40" s="588">
        <f>174.364+91.2834</f>
        <v>265.6474</v>
      </c>
      <c r="V40" s="588">
        <f>101.15234+177.67</f>
        <v>278.82234</v>
      </c>
      <c r="W40" s="588">
        <f>159.362+92.461</f>
        <v>251.82299999999998</v>
      </c>
      <c r="X40" s="588">
        <f>150.6+82.3423</f>
        <v>232.94229999999999</v>
      </c>
      <c r="Y40" s="588">
        <f>167.813+97.7169</f>
        <v>265.5299</v>
      </c>
      <c r="Z40" s="588">
        <f>162.687+1.32506+90.37428+0.03+0.50275</f>
        <v>254.91909000000001</v>
      </c>
      <c r="AA40" s="588">
        <f>161.108+102.9307</f>
        <v>264.03870000000001</v>
      </c>
      <c r="AB40" s="588">
        <f>98.5763+167.819</f>
        <v>266.39530000000002</v>
      </c>
      <c r="AC40" s="588">
        <f>147.283+1.61572+97.34844+0.7994</f>
        <v>247.04656</v>
      </c>
      <c r="AD40" s="588">
        <f>168.527+102.2512</f>
        <v>270.77819999999997</v>
      </c>
      <c r="AE40" s="588">
        <f>101.4756+174.557</f>
        <v>276.0326</v>
      </c>
      <c r="AF40" s="588">
        <f>179.232+98.9123</f>
        <v>278.14429999999999</v>
      </c>
      <c r="AG40" s="588">
        <f>179.242+2.35648+95.9806+0.59861</f>
        <v>278.17768999999998</v>
      </c>
      <c r="AH40" s="589">
        <f>168.846+86.4564</f>
        <v>255.30240000000001</v>
      </c>
      <c r="AI40" s="588">
        <f>137.783+1.73113+93.49888+0.015</f>
        <v>233.02800999999999</v>
      </c>
      <c r="AJ40" s="588">
        <f>91.7503+140.798</f>
        <v>232.54829999999998</v>
      </c>
      <c r="AK40" s="588">
        <f>179.8+86.5637</f>
        <v>266.36369999999999</v>
      </c>
      <c r="AL40" s="588">
        <f>143.207+73.6481</f>
        <v>216.85509999999999</v>
      </c>
      <c r="AM40" s="588">
        <v>269.9633</v>
      </c>
      <c r="AN40" s="588">
        <v>268.36419999999998</v>
      </c>
      <c r="AO40" s="588">
        <v>301.57310000000001</v>
      </c>
      <c r="AP40" s="588">
        <v>297.2</v>
      </c>
      <c r="AQ40" s="588">
        <v>287.61950000000002</v>
      </c>
      <c r="AR40" s="588">
        <v>291.17200000000003</v>
      </c>
      <c r="AS40" s="587">
        <v>307.30689999999998</v>
      </c>
      <c r="AT40" s="587">
        <f>256.2165</f>
        <v>256.2165</v>
      </c>
      <c r="AU40" s="587">
        <v>188.52429999999998</v>
      </c>
      <c r="AV40" s="587">
        <v>275.87369999999999</v>
      </c>
      <c r="AW40" s="587">
        <v>242.84020000000001</v>
      </c>
      <c r="AX40" s="587">
        <v>324.92469999999997</v>
      </c>
      <c r="AY40" s="601">
        <v>355.49099999999999</v>
      </c>
      <c r="AZ40" s="493">
        <f>174.252+129.6002</f>
        <v>303.85220000000004</v>
      </c>
      <c r="BA40" s="493">
        <v>370.416</v>
      </c>
      <c r="BB40" s="493">
        <v>389.79020000000003</v>
      </c>
      <c r="BC40" s="493">
        <v>391.96850000000001</v>
      </c>
      <c r="BD40" s="493">
        <v>385.4658</v>
      </c>
      <c r="BE40" s="493">
        <v>369.80870000000004</v>
      </c>
      <c r="BF40" s="493">
        <v>310.202</v>
      </c>
      <c r="BG40" s="493">
        <v>229.2484</v>
      </c>
      <c r="BH40" s="493">
        <v>336.40859999999998</v>
      </c>
      <c r="BI40" s="493">
        <f>275.8424</f>
        <v>275.8424</v>
      </c>
      <c r="BJ40" s="493">
        <v>358.26749999999998</v>
      </c>
      <c r="BK40" s="493">
        <v>402.94759999999997</v>
      </c>
      <c r="BL40" s="493">
        <v>384.97410000000002</v>
      </c>
      <c r="BM40" s="593">
        <v>458.46429999999998</v>
      </c>
      <c r="BN40" s="593">
        <v>418.39400000000001</v>
      </c>
      <c r="BO40" s="593">
        <v>466.82820000000004</v>
      </c>
      <c r="BP40" s="593">
        <v>432.62</v>
      </c>
      <c r="BQ40" s="593">
        <v>423.55719999999997</v>
      </c>
      <c r="BR40" s="593">
        <v>341.80500000000001</v>
      </c>
      <c r="BS40" s="593">
        <v>330.30809999999997</v>
      </c>
      <c r="BT40" s="593">
        <v>351.19439999999997</v>
      </c>
      <c r="BU40" s="593">
        <v>300.61220000000003</v>
      </c>
      <c r="BV40" s="593">
        <v>408.62549999999999</v>
      </c>
      <c r="BW40" s="593">
        <v>449.93600000000004</v>
      </c>
      <c r="BX40" s="593">
        <v>426.45119999999997</v>
      </c>
      <c r="BY40" s="593">
        <v>453.95349999999996</v>
      </c>
      <c r="BZ40" s="593">
        <v>425.56330000000003</v>
      </c>
      <c r="CA40" s="593">
        <v>435.09010000000001</v>
      </c>
      <c r="CB40" s="593">
        <v>420.6825</v>
      </c>
      <c r="CC40" s="593">
        <v>388.6463</v>
      </c>
      <c r="CD40" s="593">
        <v>303.04070000000002</v>
      </c>
      <c r="CE40" s="593">
        <v>340.89920000000001</v>
      </c>
      <c r="CF40" s="593">
        <v>336.91300000000001</v>
      </c>
      <c r="CG40" s="593">
        <v>362.27499999999998</v>
      </c>
      <c r="CH40" s="593">
        <v>379.60980000000001</v>
      </c>
      <c r="CI40" s="593">
        <v>391.05534999999998</v>
      </c>
      <c r="CJ40" s="593">
        <v>375.51526000000001</v>
      </c>
      <c r="CK40" s="593">
        <v>447.37594000000001</v>
      </c>
      <c r="CL40" s="593">
        <v>390.27328</v>
      </c>
      <c r="CM40" s="593">
        <v>435.37451999999996</v>
      </c>
      <c r="CN40" s="593">
        <v>437.09320000000002</v>
      </c>
      <c r="CO40" s="593">
        <v>409.91152</v>
      </c>
      <c r="CP40" s="593">
        <v>313.14526000000001</v>
      </c>
      <c r="CQ40" s="593">
        <v>313.74258999999995</v>
      </c>
      <c r="CR40" s="593">
        <v>275.47613999999999</v>
      </c>
      <c r="CS40" s="593">
        <v>371.96113000000003</v>
      </c>
      <c r="CT40" s="593">
        <v>381.85736999999995</v>
      </c>
      <c r="CU40" s="593">
        <v>431.54496999999998</v>
      </c>
      <c r="CV40" s="593">
        <v>409.01076</v>
      </c>
      <c r="CW40" s="593">
        <v>466.27831000000003</v>
      </c>
      <c r="CX40" s="593">
        <v>445.52091999999999</v>
      </c>
      <c r="CY40" s="593">
        <v>478.48973999999998</v>
      </c>
      <c r="CZ40" s="593">
        <v>438.30986999999999</v>
      </c>
      <c r="DA40" s="593">
        <v>378.40053999999998</v>
      </c>
      <c r="DB40" s="593">
        <v>309.99270999999999</v>
      </c>
      <c r="DC40" s="593">
        <v>454.39260000000002</v>
      </c>
      <c r="DD40" s="593">
        <v>299.05476300000004</v>
      </c>
      <c r="DE40" s="593">
        <v>385.78229999999996</v>
      </c>
      <c r="DF40" s="593">
        <v>413.51014000000004</v>
      </c>
      <c r="DG40" s="593">
        <v>446.58695</v>
      </c>
      <c r="DH40" s="593">
        <v>465.86552</v>
      </c>
      <c r="DI40" s="593">
        <v>479.95168000000001</v>
      </c>
      <c r="DJ40" s="593">
        <v>436.95542000000006</v>
      </c>
      <c r="DK40" s="493">
        <f>SUM(CU40:CX40)</f>
        <v>1752.3549600000001</v>
      </c>
      <c r="DL40" s="493">
        <f>SUM(DG40:DJ40)</f>
        <v>1829.3595699999998</v>
      </c>
      <c r="DM40" s="493">
        <f>((DL40/DK40)-1)*100</f>
        <v>4.3943499894564475</v>
      </c>
    </row>
    <row r="41" spans="2:176" ht="80.099999999999994" customHeight="1">
      <c r="B41" s="591" t="s">
        <v>157</v>
      </c>
      <c r="C41" s="590">
        <f>108.537+8.1739</f>
        <v>116.71090000000001</v>
      </c>
      <c r="D41" s="590">
        <f>57.2813+122.808</f>
        <v>180.08930000000001</v>
      </c>
      <c r="E41" s="590">
        <f>138.406+63.1343</f>
        <v>201.5403</v>
      </c>
      <c r="F41" s="590">
        <f>144.703+54.6277</f>
        <v>199.33070000000001</v>
      </c>
      <c r="G41" s="590">
        <f>155.942+66.2339</f>
        <v>222.17590000000001</v>
      </c>
      <c r="H41" s="590">
        <f>131.296+61.2307</f>
        <v>192.52670000000001</v>
      </c>
      <c r="I41" s="590">
        <f>108.666+69.7141</f>
        <v>178.3801</v>
      </c>
      <c r="J41" s="590">
        <f>69.5017+127.057</f>
        <v>196.55869999999999</v>
      </c>
      <c r="K41" s="590">
        <f>97.367+56.7947</f>
        <v>154.1617</v>
      </c>
      <c r="L41" s="590">
        <f>42.5112+93.823</f>
        <v>136.33420000000001</v>
      </c>
      <c r="M41" s="590">
        <f>107.496+55.3475</f>
        <v>162.84350000000001</v>
      </c>
      <c r="N41" s="590">
        <f>57.381+133.29</f>
        <v>190.67099999999999</v>
      </c>
      <c r="O41" s="590">
        <f>131.307+60.4849</f>
        <v>191.7919</v>
      </c>
      <c r="P41" s="589">
        <f>119.112+54.175</f>
        <v>173.28699999999998</v>
      </c>
      <c r="Q41" s="588">
        <f>115.718+67.0727</f>
        <v>182.79070000000002</v>
      </c>
      <c r="R41" s="588">
        <f>137.188+59.3145</f>
        <v>196.5025</v>
      </c>
      <c r="S41" s="588">
        <f>61.0006+134.069</f>
        <v>195.06959999999998</v>
      </c>
      <c r="T41" s="588">
        <f>146.719+49.4817</f>
        <v>196.20069999999998</v>
      </c>
      <c r="U41" s="588">
        <f>149.177+60.299</f>
        <v>209.476</v>
      </c>
      <c r="V41" s="588">
        <f>0.25+65.84362+137.1</f>
        <v>203.19362000000001</v>
      </c>
      <c r="W41" s="588">
        <f>131.924+48.452</f>
        <v>180.376</v>
      </c>
      <c r="X41" s="588">
        <f>121.9+48.2346</f>
        <v>170.13460000000001</v>
      </c>
      <c r="Y41" s="588">
        <f>140.914+50.7265</f>
        <v>191.64049999999997</v>
      </c>
      <c r="Z41" s="588">
        <f>125.125+44.72418+0.9084+0.71786</f>
        <v>171.47543999999999</v>
      </c>
      <c r="AA41" s="588">
        <f>139.412+0.59965+58.53935+1.95952</f>
        <v>200.51051999999999</v>
      </c>
      <c r="AB41" s="588">
        <f>134.877+1.4052+55.00282+1.70105</f>
        <v>192.98607000000004</v>
      </c>
      <c r="AC41" s="588">
        <f>133.368+1.58002+55.77642+0.764</f>
        <v>191.48844</v>
      </c>
      <c r="AD41" s="588">
        <f>68.3068+152.295</f>
        <v>220.60179999999997</v>
      </c>
      <c r="AE41" s="588">
        <f>149.11+66.5737</f>
        <v>215.68370000000002</v>
      </c>
      <c r="AF41" s="588">
        <f>61.7947+143.044</f>
        <v>204.83870000000002</v>
      </c>
      <c r="AG41" s="588">
        <f>1.03648+61.26147+0.66+144.331</f>
        <v>207.28895</v>
      </c>
      <c r="AH41" s="589">
        <f>43.2254+132.106</f>
        <v>175.3314</v>
      </c>
      <c r="AI41" s="588">
        <f>0.53659+34.55327+0.01+110.744</f>
        <v>145.84386000000001</v>
      </c>
      <c r="AJ41" s="588">
        <f>121.348+33.7642</f>
        <v>155.1122</v>
      </c>
      <c r="AK41" s="588">
        <f>37.1495+144.388</f>
        <v>181.53750000000002</v>
      </c>
      <c r="AL41" s="588">
        <f>38.6082+125.012</f>
        <v>163.62020000000001</v>
      </c>
      <c r="AM41" s="588">
        <v>192.85310000000001</v>
      </c>
      <c r="AN41" s="588">
        <v>181.56569999999999</v>
      </c>
      <c r="AO41" s="588">
        <v>201.3075</v>
      </c>
      <c r="AP41" s="588">
        <v>207.75049000000001</v>
      </c>
      <c r="AQ41" s="588">
        <v>198.96539999999999</v>
      </c>
      <c r="AR41" s="588">
        <v>210.08949999999999</v>
      </c>
      <c r="AS41" s="587">
        <v>219.3305</v>
      </c>
      <c r="AT41" s="587">
        <v>168.82295999999999</v>
      </c>
      <c r="AU41" s="587">
        <v>129.4854</v>
      </c>
      <c r="AV41" s="587">
        <v>186.62970000000001</v>
      </c>
      <c r="AW41" s="587">
        <v>156.73609999999999</v>
      </c>
      <c r="AX41" s="587">
        <v>209.5489</v>
      </c>
      <c r="AY41" s="601">
        <v>214.09469999999999</v>
      </c>
      <c r="AZ41" s="493">
        <v>188.88900000000001</v>
      </c>
      <c r="BA41" s="493">
        <v>234.49610000000001</v>
      </c>
      <c r="BB41" s="493">
        <v>229.06020000000001</v>
      </c>
      <c r="BC41" s="493">
        <v>235.2638</v>
      </c>
      <c r="BD41" s="493">
        <v>233.68980000000002</v>
      </c>
      <c r="BE41" s="493">
        <v>204.11500000000001</v>
      </c>
      <c r="BF41" s="493">
        <v>171.5718</v>
      </c>
      <c r="BG41" s="493">
        <v>143.01</v>
      </c>
      <c r="BH41" s="493">
        <v>176.8279</v>
      </c>
      <c r="BI41" s="493">
        <v>153.435</v>
      </c>
      <c r="BJ41" s="493">
        <v>210.80779999999999</v>
      </c>
      <c r="BK41" s="493">
        <v>209.71730000000002</v>
      </c>
      <c r="BL41" s="493">
        <v>214.45589999999999</v>
      </c>
      <c r="BM41" s="493">
        <v>261.71120000000002</v>
      </c>
      <c r="BN41" s="493">
        <v>238.92959999999999</v>
      </c>
      <c r="BO41" s="593">
        <v>250.44280000000003</v>
      </c>
      <c r="BP41" s="593">
        <v>232.10340000000002</v>
      </c>
      <c r="BQ41" s="593">
        <v>227.90929999999997</v>
      </c>
      <c r="BR41" s="593">
        <v>179.18630000000002</v>
      </c>
      <c r="BS41" s="593">
        <v>176.2937</v>
      </c>
      <c r="BT41" s="593">
        <v>176.01509999999999</v>
      </c>
      <c r="BU41" s="593">
        <v>176.0822</v>
      </c>
      <c r="BV41" s="593">
        <v>226.81730000000002</v>
      </c>
      <c r="BW41" s="593">
        <v>217.97069999999999</v>
      </c>
      <c r="BX41" s="593">
        <v>217.9658</v>
      </c>
      <c r="BY41" s="593">
        <v>248.23489999999998</v>
      </c>
      <c r="BZ41" s="593">
        <v>234.4649</v>
      </c>
      <c r="CA41" s="593">
        <v>246.45650000000001</v>
      </c>
      <c r="CB41" s="593">
        <v>242.5924</v>
      </c>
      <c r="CC41" s="593">
        <v>215.13149999999999</v>
      </c>
      <c r="CD41" s="593">
        <v>158.59730000000002</v>
      </c>
      <c r="CE41" s="593">
        <v>176.58840000000001</v>
      </c>
      <c r="CF41" s="593">
        <v>159.33080000000001</v>
      </c>
      <c r="CG41" s="593">
        <v>193.1096</v>
      </c>
      <c r="CH41" s="593">
        <v>209.03300000000002</v>
      </c>
      <c r="CI41" s="593">
        <v>226.05534</v>
      </c>
      <c r="CJ41" s="593">
        <v>233.38113000000001</v>
      </c>
      <c r="CK41" s="593">
        <v>267.93529000000001</v>
      </c>
      <c r="CL41" s="593">
        <v>257.83893</v>
      </c>
      <c r="CM41" s="593">
        <v>282.93157000000002</v>
      </c>
      <c r="CN41" s="593">
        <v>263.50875000000002</v>
      </c>
      <c r="CO41" s="593">
        <v>253.08286000000004</v>
      </c>
      <c r="CP41" s="593">
        <v>184.13142999999999</v>
      </c>
      <c r="CQ41" s="593">
        <v>187.85</v>
      </c>
      <c r="CR41" s="593">
        <v>168.49171000000001</v>
      </c>
      <c r="CS41" s="593">
        <v>226.18159000000003</v>
      </c>
      <c r="CT41" s="593">
        <v>231.35323999999997</v>
      </c>
      <c r="CU41" s="593">
        <v>267.52602000000002</v>
      </c>
      <c r="CV41" s="593">
        <v>268.28010999999998</v>
      </c>
      <c r="CW41" s="593">
        <v>295.70695999999998</v>
      </c>
      <c r="CX41" s="593">
        <v>291.44130999999999</v>
      </c>
      <c r="CY41" s="593">
        <v>299.63269000000003</v>
      </c>
      <c r="CZ41" s="593">
        <v>278.27772000000004</v>
      </c>
      <c r="DA41" s="593">
        <v>240.31761</v>
      </c>
      <c r="DB41" s="593">
        <v>204.08260999999999</v>
      </c>
      <c r="DC41" s="593">
        <v>263.60199999999998</v>
      </c>
      <c r="DD41" s="593">
        <v>196.97871000000004</v>
      </c>
      <c r="DE41" s="593">
        <v>229.50045</v>
      </c>
      <c r="DF41" s="593">
        <v>261.77767</v>
      </c>
      <c r="DG41" s="593">
        <v>286.10452000000004</v>
      </c>
      <c r="DH41" s="593">
        <v>265.34010999999998</v>
      </c>
      <c r="DI41" s="593">
        <v>272.26047</v>
      </c>
      <c r="DJ41" s="593">
        <v>227.84273999999999</v>
      </c>
      <c r="DK41" s="493">
        <f>SUM(CU41:CX41)</f>
        <v>1122.9543999999999</v>
      </c>
      <c r="DL41" s="493">
        <f>SUM(DG41:DJ41)</f>
        <v>1051.54784</v>
      </c>
      <c r="DM41" s="493">
        <f>((DL41/DK41)-1)*100</f>
        <v>-6.3588120764298095</v>
      </c>
    </row>
    <row r="42" spans="2:176" ht="80.099999999999994" customHeight="1" thickBot="1">
      <c r="B42" s="600" t="s">
        <v>129</v>
      </c>
      <c r="C42" s="590">
        <f>22.387+86.218</f>
        <v>108.605</v>
      </c>
      <c r="D42" s="590">
        <f>37.0077+20.967</f>
        <v>57.974699999999999</v>
      </c>
      <c r="E42" s="590">
        <f>22.278+39.5518</f>
        <v>61.829799999999999</v>
      </c>
      <c r="F42" s="590">
        <f>36.068+35.1807</f>
        <v>71.248699999999999</v>
      </c>
      <c r="G42" s="590">
        <f>39.7+37.5798</f>
        <v>77.279799999999994</v>
      </c>
      <c r="H42" s="590">
        <f>35.2253+29.515</f>
        <v>64.740299999999991</v>
      </c>
      <c r="I42" s="590">
        <f>31.9995+19.075</f>
        <v>51.0745</v>
      </c>
      <c r="J42" s="590">
        <f>22.557+36.5121</f>
        <v>59.069099999999992</v>
      </c>
      <c r="K42" s="590">
        <f>27.081+34.6539</f>
        <v>61.734899999999996</v>
      </c>
      <c r="L42" s="590">
        <f>29.8152+25.673</f>
        <v>55.488199999999999</v>
      </c>
      <c r="M42" s="590">
        <f>39.0071+34.847</f>
        <v>73.854100000000003</v>
      </c>
      <c r="N42" s="590">
        <f>30.563+38.1869</f>
        <v>68.749899999999997</v>
      </c>
      <c r="O42" s="590">
        <f>36.473+25.764</f>
        <v>62.236999999999995</v>
      </c>
      <c r="P42" s="589">
        <f>28.083+35.1925</f>
        <v>63.275500000000001</v>
      </c>
      <c r="Q42" s="588">
        <f>23.827+33.3453</f>
        <v>57.172300000000007</v>
      </c>
      <c r="R42" s="588">
        <f>33.404+31.0476</f>
        <v>64.451599999999999</v>
      </c>
      <c r="S42" s="588">
        <f>30.5479+30.586</f>
        <v>61.133899999999997</v>
      </c>
      <c r="T42" s="588">
        <f>22.657+26.26</f>
        <v>48.917000000000002</v>
      </c>
      <c r="U42" s="588">
        <f>27.476+27.0548</f>
        <v>54.530799999999999</v>
      </c>
      <c r="V42" s="588">
        <f>0.385+36.89185+33.5</f>
        <v>70.776849999999996</v>
      </c>
      <c r="W42" s="588">
        <f>25.472+34.3461</f>
        <v>59.818100000000001</v>
      </c>
      <c r="X42" s="588">
        <f>28.7+37.8169</f>
        <v>66.516899999999993</v>
      </c>
      <c r="Y42" s="588">
        <f>30.76+51.3545</f>
        <v>82.114500000000007</v>
      </c>
      <c r="Z42" s="588">
        <f>35.141+0.485+42.51735+0.03</f>
        <v>78.173349999999999</v>
      </c>
      <c r="AA42" s="588">
        <f>31.778+1.53+42.4453+0.04</f>
        <v>75.793300000000002</v>
      </c>
      <c r="AB42" s="588">
        <f>25.186+1.034+39.6577+0.08</f>
        <v>65.957700000000003</v>
      </c>
      <c r="AC42" s="588">
        <f>13.197+0.046+37.2446+0.03</f>
        <v>50.517600000000002</v>
      </c>
      <c r="AD42" s="588">
        <f>38.0999+22.471</f>
        <v>60.570899999999995</v>
      </c>
      <c r="AE42" s="588">
        <f>24.974+36.6496</f>
        <v>61.623599999999996</v>
      </c>
      <c r="AF42" s="588">
        <f>33.184+35.3751</f>
        <v>68.559100000000001</v>
      </c>
      <c r="AG42" s="588">
        <f>37.387+1.32+36.4715</f>
        <v>75.1785</v>
      </c>
      <c r="AH42" s="589">
        <f>40.4126+33.631</f>
        <v>74.043599999999998</v>
      </c>
      <c r="AI42" s="588">
        <f>25.509+1.03+56.9197</f>
        <v>83.458699999999993</v>
      </c>
      <c r="AJ42" s="588">
        <f>48.8697+21.871</f>
        <v>70.740700000000004</v>
      </c>
      <c r="AK42" s="588">
        <f>46.1088+25.053</f>
        <v>71.161799999999999</v>
      </c>
      <c r="AL42" s="588">
        <f>42.7001+25.473</f>
        <v>68.173100000000005</v>
      </c>
      <c r="AM42" s="588">
        <v>91.170199999999994</v>
      </c>
      <c r="AN42" s="588">
        <v>87.038300000000007</v>
      </c>
      <c r="AO42" s="588">
        <v>97.055099999999996</v>
      </c>
      <c r="AP42" s="588">
        <v>93.082350000000005</v>
      </c>
      <c r="AQ42" s="588">
        <v>84.018000000000001</v>
      </c>
      <c r="AR42" s="588">
        <v>80.729600000000005</v>
      </c>
      <c r="AS42" s="587">
        <v>83.630600000000001</v>
      </c>
      <c r="AT42" s="579">
        <v>73.069400000000002</v>
      </c>
      <c r="AU42" s="580">
        <v>67.5398</v>
      </c>
      <c r="AV42" s="580">
        <v>97.624300000000005</v>
      </c>
      <c r="AW42" s="580">
        <v>84.664100000000005</v>
      </c>
      <c r="AX42" s="580">
        <v>113.1853</v>
      </c>
      <c r="AY42" s="599">
        <v>132.16239999999999</v>
      </c>
      <c r="AZ42" s="579">
        <v>112.1417</v>
      </c>
      <c r="BA42" s="579">
        <v>147.01849999999999</v>
      </c>
      <c r="BB42" s="579">
        <v>158.33009999999999</v>
      </c>
      <c r="BC42" s="579">
        <v>153.25459999999998</v>
      </c>
      <c r="BD42" s="579">
        <v>157.666</v>
      </c>
      <c r="BE42" s="579">
        <v>150.23779999999999</v>
      </c>
      <c r="BF42" s="579">
        <v>138.30079999999998</v>
      </c>
      <c r="BG42" s="579">
        <v>105.3571</v>
      </c>
      <c r="BH42" s="579">
        <v>143.80599999999998</v>
      </c>
      <c r="BI42" s="579">
        <v>117.3336</v>
      </c>
      <c r="BJ42" s="579">
        <v>153.55009999999999</v>
      </c>
      <c r="BK42" s="579">
        <v>169.91540000000001</v>
      </c>
      <c r="BL42" s="579">
        <v>185.4298</v>
      </c>
      <c r="BM42" s="579">
        <v>200.59569999999999</v>
      </c>
      <c r="BN42" s="579">
        <v>186.04910000000001</v>
      </c>
      <c r="BO42" s="579">
        <v>203.4468</v>
      </c>
      <c r="BP42" s="579">
        <v>199.73779999999999</v>
      </c>
      <c r="BQ42" s="579">
        <v>176.47200000000001</v>
      </c>
      <c r="BR42" s="579">
        <v>160.21340000000001</v>
      </c>
      <c r="BS42" s="579">
        <v>156.53370000000001</v>
      </c>
      <c r="BT42" s="579">
        <v>162.03</v>
      </c>
      <c r="BU42" s="579">
        <v>144.28700000000001</v>
      </c>
      <c r="BV42" s="579">
        <v>196.3202</v>
      </c>
      <c r="BW42" s="579">
        <v>201.99469999999999</v>
      </c>
      <c r="BX42" s="579">
        <v>210.089</v>
      </c>
      <c r="BY42" s="579">
        <v>199.05349999999999</v>
      </c>
      <c r="BZ42" s="579">
        <v>201.73570000000001</v>
      </c>
      <c r="CA42" s="579">
        <v>196.8194</v>
      </c>
      <c r="CB42" s="579">
        <v>176.92599999999999</v>
      </c>
      <c r="CC42" s="579">
        <v>158.10739999999998</v>
      </c>
      <c r="CD42" s="579">
        <v>158.34059999999999</v>
      </c>
      <c r="CE42" s="579">
        <v>167.55680000000001</v>
      </c>
      <c r="CF42" s="579">
        <v>147.018</v>
      </c>
      <c r="CG42" s="579">
        <v>172.60380000000001</v>
      </c>
      <c r="CH42" s="579">
        <v>177.87799999999999</v>
      </c>
      <c r="CI42" s="579">
        <v>179.99424999999999</v>
      </c>
      <c r="CJ42" s="579">
        <v>151.11635000000001</v>
      </c>
      <c r="CK42" s="579">
        <v>179.2971</v>
      </c>
      <c r="CL42" s="579">
        <v>136.21039999999999</v>
      </c>
      <c r="CM42" s="579">
        <v>151.45010000000002</v>
      </c>
      <c r="CN42" s="579">
        <v>150.15270000000001</v>
      </c>
      <c r="CO42" s="579">
        <v>156.28444999999999</v>
      </c>
      <c r="CP42" s="579">
        <v>116.71825999999999</v>
      </c>
      <c r="CQ42" s="579">
        <v>147.05000000000001</v>
      </c>
      <c r="CR42" s="580">
        <v>113.05982999999998</v>
      </c>
      <c r="CS42" s="580">
        <v>139.84793999999999</v>
      </c>
      <c r="CT42" s="580">
        <v>148.34530000000001</v>
      </c>
      <c r="CU42" s="580">
        <v>173.16895</v>
      </c>
      <c r="CV42" s="580">
        <v>140.60155</v>
      </c>
      <c r="CW42" s="580">
        <v>183.3295</v>
      </c>
      <c r="CX42" s="580">
        <v>159.40584999999999</v>
      </c>
      <c r="CY42" s="580">
        <v>177.21265</v>
      </c>
      <c r="CZ42" s="580">
        <v>159.60775000000001</v>
      </c>
      <c r="DA42" s="580">
        <v>125.5891</v>
      </c>
      <c r="DB42" s="580">
        <v>117.80629999999999</v>
      </c>
      <c r="DC42" s="580">
        <v>152.0061</v>
      </c>
      <c r="DD42" s="580">
        <v>121.23110000000001</v>
      </c>
      <c r="DE42" s="580">
        <v>135.25685000000001</v>
      </c>
      <c r="DF42" s="580">
        <v>167.886</v>
      </c>
      <c r="DG42" s="580">
        <v>176.06354999999999</v>
      </c>
      <c r="DH42" s="580">
        <v>187.5205</v>
      </c>
      <c r="DI42" s="580">
        <v>214.06870000000001</v>
      </c>
      <c r="DJ42" s="580">
        <v>223.80463999999998</v>
      </c>
      <c r="DK42" s="580">
        <f>SUM(CU42:CX42)</f>
        <v>656.50585000000001</v>
      </c>
      <c r="DL42" s="580">
        <f>SUM(DG42:DJ42)</f>
        <v>801.45738999999992</v>
      </c>
      <c r="DM42" s="579">
        <f>((DL42/DK42)-1)*100</f>
        <v>22.079245752341727</v>
      </c>
    </row>
    <row r="43" spans="2:176" ht="80.099999999999994" customHeight="1">
      <c r="B43" s="598" t="s">
        <v>156</v>
      </c>
      <c r="C43" s="597"/>
      <c r="D43" s="597"/>
      <c r="E43" s="597"/>
      <c r="F43" s="597"/>
      <c r="G43" s="597"/>
      <c r="H43" s="597"/>
      <c r="I43" s="597"/>
      <c r="J43" s="597"/>
      <c r="K43" s="597"/>
      <c r="L43" s="597"/>
      <c r="M43" s="597"/>
      <c r="N43" s="597"/>
      <c r="O43" s="597"/>
      <c r="P43" s="596"/>
      <c r="Q43" s="595"/>
      <c r="R43" s="595"/>
      <c r="S43" s="595"/>
      <c r="T43" s="595"/>
      <c r="U43" s="595"/>
      <c r="V43" s="595"/>
      <c r="W43" s="595"/>
      <c r="X43" s="595"/>
      <c r="Y43" s="595"/>
      <c r="Z43" s="595"/>
      <c r="AA43" s="595"/>
      <c r="AB43" s="595"/>
      <c r="AC43" s="594"/>
      <c r="AD43" s="594"/>
      <c r="AE43" s="594"/>
      <c r="AF43" s="594"/>
      <c r="AG43" s="594"/>
      <c r="AH43" s="594"/>
      <c r="AI43" s="594"/>
      <c r="AJ43" s="594"/>
      <c r="AK43" s="594"/>
      <c r="AL43" s="594"/>
      <c r="AM43" s="594"/>
      <c r="AN43" s="594"/>
      <c r="AO43" s="594"/>
      <c r="AP43" s="594"/>
      <c r="AQ43" s="594"/>
      <c r="AR43" s="594"/>
      <c r="AS43" s="586"/>
      <c r="AT43" s="586"/>
      <c r="AU43" s="586"/>
      <c r="AV43" s="586"/>
      <c r="AW43" s="586"/>
      <c r="AX43" s="586"/>
      <c r="AY43" s="593"/>
      <c r="AZ43" s="593"/>
      <c r="BA43" s="586"/>
      <c r="BB43" s="586"/>
      <c r="BC43" s="586"/>
      <c r="BD43" s="586"/>
      <c r="BE43" s="586"/>
      <c r="BF43" s="586"/>
      <c r="BG43" s="586"/>
      <c r="BH43" s="586"/>
      <c r="BI43" s="586"/>
      <c r="BJ43" s="586"/>
      <c r="BK43" s="586"/>
      <c r="BL43" s="586"/>
      <c r="BM43" s="586"/>
      <c r="BN43" s="586"/>
      <c r="BO43" s="586"/>
      <c r="BP43" s="586"/>
      <c r="BQ43" s="586"/>
      <c r="BR43" s="586"/>
      <c r="BS43" s="586"/>
      <c r="BT43" s="586"/>
      <c r="BU43" s="586"/>
      <c r="BV43" s="586"/>
      <c r="BW43" s="586"/>
      <c r="BX43" s="586"/>
      <c r="BY43" s="586"/>
      <c r="BZ43" s="586"/>
      <c r="CA43" s="586"/>
      <c r="CB43" s="586"/>
      <c r="CC43" s="586"/>
      <c r="CD43" s="586"/>
      <c r="CE43" s="586"/>
      <c r="CF43" s="586"/>
      <c r="CG43" s="586"/>
      <c r="CH43" s="586"/>
      <c r="CI43" s="586"/>
      <c r="CJ43" s="586"/>
      <c r="CK43" s="586"/>
      <c r="CL43" s="586"/>
      <c r="CM43" s="586"/>
      <c r="CN43" s="586"/>
      <c r="CO43" s="586"/>
      <c r="CP43" s="586"/>
      <c r="CQ43" s="586"/>
      <c r="CR43" s="586"/>
      <c r="CS43" s="586"/>
      <c r="CT43" s="586"/>
      <c r="CU43" s="586"/>
      <c r="CV43" s="586"/>
      <c r="CW43" s="586"/>
      <c r="CX43" s="586"/>
      <c r="CY43" s="586"/>
      <c r="CZ43" s="586"/>
      <c r="DA43" s="586"/>
      <c r="DB43" s="586"/>
      <c r="DC43" s="586"/>
      <c r="DD43" s="586"/>
      <c r="DE43" s="586"/>
      <c r="DF43" s="586"/>
      <c r="DG43" s="586"/>
      <c r="DH43" s="586"/>
      <c r="DI43" s="586"/>
      <c r="DJ43" s="586"/>
      <c r="DK43" s="586"/>
      <c r="DL43" s="586"/>
      <c r="DM43" s="593"/>
    </row>
    <row r="44" spans="2:176" ht="80.099999999999994" customHeight="1">
      <c r="B44" s="592" t="s">
        <v>155</v>
      </c>
      <c r="C44" s="590"/>
      <c r="D44" s="590"/>
      <c r="E44" s="590"/>
      <c r="F44" s="590"/>
      <c r="G44" s="590"/>
      <c r="H44" s="590"/>
      <c r="I44" s="590"/>
      <c r="J44" s="590"/>
      <c r="K44" s="590"/>
      <c r="L44" s="590"/>
      <c r="M44" s="590"/>
      <c r="N44" s="590"/>
      <c r="O44" s="590"/>
      <c r="P44" s="589"/>
      <c r="Q44" s="588"/>
      <c r="R44" s="588"/>
      <c r="S44" s="588"/>
      <c r="T44" s="588"/>
      <c r="U44" s="588"/>
      <c r="V44" s="588"/>
      <c r="W44" s="588"/>
      <c r="X44" s="588"/>
      <c r="Y44" s="588"/>
      <c r="Z44" s="588"/>
      <c r="AA44" s="588"/>
      <c r="AB44" s="588"/>
      <c r="AC44" s="588"/>
      <c r="AD44" s="588"/>
      <c r="AE44" s="588"/>
      <c r="AF44" s="588"/>
      <c r="AG44" s="588"/>
      <c r="AH44" s="588"/>
      <c r="AI44" s="588"/>
      <c r="AJ44" s="588"/>
      <c r="AK44" s="588"/>
      <c r="AL44" s="588"/>
      <c r="AM44" s="588"/>
      <c r="AN44" s="588"/>
      <c r="AO44" s="588"/>
      <c r="AP44" s="588"/>
      <c r="AQ44" s="588"/>
      <c r="AR44" s="588"/>
      <c r="AS44" s="587"/>
      <c r="AT44" s="587"/>
      <c r="AU44" s="587"/>
      <c r="AV44" s="587"/>
      <c r="AW44" s="587"/>
      <c r="AX44" s="587"/>
      <c r="AY44" s="493"/>
      <c r="AZ44" s="493"/>
      <c r="BA44" s="587"/>
      <c r="BB44" s="587"/>
      <c r="BC44" s="587"/>
      <c r="BD44" s="587"/>
      <c r="BE44" s="587"/>
      <c r="BF44" s="587"/>
      <c r="BG44" s="587"/>
      <c r="BH44" s="587"/>
      <c r="BI44" s="587"/>
      <c r="BJ44" s="587"/>
      <c r="BK44" s="587"/>
      <c r="BL44" s="587"/>
      <c r="BM44" s="587"/>
      <c r="BN44" s="587"/>
      <c r="BO44" s="587"/>
      <c r="BP44" s="587"/>
      <c r="BQ44" s="587"/>
      <c r="BR44" s="587"/>
      <c r="BS44" s="586"/>
      <c r="BT44" s="586"/>
      <c r="BU44" s="586"/>
      <c r="BV44" s="586"/>
      <c r="BW44" s="586"/>
      <c r="BX44" s="586"/>
      <c r="BY44" s="586"/>
      <c r="BZ44" s="586"/>
      <c r="CA44" s="586"/>
      <c r="CB44" s="586"/>
      <c r="CC44" s="586"/>
      <c r="CD44" s="586"/>
      <c r="CE44" s="586"/>
      <c r="CF44" s="586"/>
      <c r="CG44" s="586"/>
      <c r="CH44" s="586"/>
      <c r="CI44" s="586"/>
      <c r="CJ44" s="586"/>
      <c r="CK44" s="586"/>
      <c r="CL44" s="586"/>
      <c r="CM44" s="586"/>
      <c r="CN44" s="586"/>
      <c r="CO44" s="586"/>
      <c r="CP44" s="586"/>
      <c r="CQ44" s="586"/>
      <c r="CR44" s="586"/>
      <c r="CS44" s="586"/>
      <c r="CT44" s="586"/>
      <c r="CU44" s="586"/>
      <c r="CV44" s="586"/>
      <c r="CW44" s="586"/>
      <c r="CX44" s="586"/>
      <c r="CY44" s="586"/>
      <c r="CZ44" s="586"/>
      <c r="DA44" s="586"/>
      <c r="DB44" s="586"/>
      <c r="DC44" s="586"/>
      <c r="DD44" s="586"/>
      <c r="DE44" s="586"/>
      <c r="DF44" s="586"/>
      <c r="DG44" s="586"/>
      <c r="DH44" s="586"/>
      <c r="DI44" s="586"/>
      <c r="DJ44" s="586"/>
      <c r="DK44" s="586"/>
      <c r="DL44" s="586"/>
      <c r="DM44" s="493"/>
    </row>
    <row r="45" spans="2:176" ht="80.099999999999994" customHeight="1">
      <c r="B45" s="592" t="s">
        <v>154</v>
      </c>
      <c r="C45" s="590"/>
      <c r="D45" s="590"/>
      <c r="E45" s="590"/>
      <c r="F45" s="590"/>
      <c r="G45" s="590"/>
      <c r="H45" s="590"/>
      <c r="I45" s="590"/>
      <c r="J45" s="590"/>
      <c r="K45" s="590"/>
      <c r="L45" s="590"/>
      <c r="M45" s="590"/>
      <c r="N45" s="590"/>
      <c r="O45" s="590"/>
      <c r="P45" s="589"/>
      <c r="Q45" s="588"/>
      <c r="R45" s="588"/>
      <c r="S45" s="588"/>
      <c r="T45" s="588"/>
      <c r="U45" s="588"/>
      <c r="V45" s="588"/>
      <c r="W45" s="588"/>
      <c r="X45" s="588"/>
      <c r="Y45" s="588"/>
      <c r="Z45" s="588"/>
      <c r="AA45" s="588"/>
      <c r="AB45" s="588"/>
      <c r="AC45" s="588"/>
      <c r="AD45" s="588"/>
      <c r="AE45" s="588"/>
      <c r="AF45" s="588"/>
      <c r="AG45" s="588"/>
      <c r="AH45" s="588"/>
      <c r="AI45" s="588"/>
      <c r="AJ45" s="588"/>
      <c r="AK45" s="588"/>
      <c r="AL45" s="588"/>
      <c r="AM45" s="588"/>
      <c r="AN45" s="588"/>
      <c r="AO45" s="588"/>
      <c r="AP45" s="588"/>
      <c r="AQ45" s="588"/>
      <c r="AR45" s="588"/>
      <c r="AS45" s="587"/>
      <c r="AT45" s="587"/>
      <c r="AU45" s="587"/>
      <c r="AV45" s="587"/>
      <c r="AW45" s="587"/>
      <c r="AX45" s="587"/>
      <c r="AY45" s="493"/>
      <c r="AZ45" s="493"/>
      <c r="BA45" s="587"/>
      <c r="BB45" s="587"/>
      <c r="BC45" s="587"/>
      <c r="BD45" s="587"/>
      <c r="BE45" s="587"/>
      <c r="BF45" s="587"/>
      <c r="BG45" s="587"/>
      <c r="BH45" s="587"/>
      <c r="BI45" s="587"/>
      <c r="BJ45" s="587"/>
      <c r="BK45" s="587"/>
      <c r="BL45" s="587"/>
      <c r="BM45" s="587"/>
      <c r="BN45" s="587"/>
      <c r="BO45" s="587"/>
      <c r="BP45" s="587"/>
      <c r="BQ45" s="587"/>
      <c r="BR45" s="587"/>
      <c r="BS45" s="586"/>
      <c r="BT45" s="586"/>
      <c r="BU45" s="586"/>
      <c r="BV45" s="586"/>
      <c r="BW45" s="586"/>
      <c r="BX45" s="586"/>
      <c r="BY45" s="586"/>
      <c r="BZ45" s="586"/>
      <c r="CA45" s="586"/>
      <c r="CB45" s="586"/>
      <c r="CC45" s="586"/>
      <c r="CD45" s="586"/>
      <c r="CE45" s="586"/>
      <c r="CF45" s="586"/>
      <c r="CG45" s="586"/>
      <c r="CH45" s="586"/>
      <c r="CI45" s="586"/>
      <c r="CJ45" s="586"/>
      <c r="CK45" s="586"/>
      <c r="CL45" s="586"/>
      <c r="CM45" s="586"/>
      <c r="CN45" s="586"/>
      <c r="CO45" s="586"/>
      <c r="CP45" s="586"/>
      <c r="CQ45" s="586"/>
      <c r="CR45" s="586"/>
      <c r="CS45" s="586"/>
      <c r="CT45" s="586"/>
      <c r="CU45" s="586"/>
      <c r="CV45" s="586"/>
      <c r="CW45" s="586"/>
      <c r="CX45" s="586"/>
      <c r="CY45" s="586"/>
      <c r="CZ45" s="586"/>
      <c r="DA45" s="586"/>
      <c r="DB45" s="586"/>
      <c r="DC45" s="586"/>
      <c r="DD45" s="586"/>
      <c r="DE45" s="586"/>
      <c r="DF45" s="586"/>
      <c r="DG45" s="586"/>
      <c r="DH45" s="586"/>
      <c r="DI45" s="586"/>
      <c r="DJ45" s="586"/>
      <c r="DK45" s="586"/>
      <c r="DL45" s="586"/>
      <c r="DM45" s="493"/>
    </row>
    <row r="46" spans="2:176" ht="80.099999999999994" customHeight="1">
      <c r="B46" s="591" t="s">
        <v>153</v>
      </c>
      <c r="C46" s="590">
        <v>41.703000000000003</v>
      </c>
      <c r="D46" s="590">
        <v>26.695</v>
      </c>
      <c r="E46" s="590">
        <v>4.7850000000000001</v>
      </c>
      <c r="F46" s="590">
        <v>0</v>
      </c>
      <c r="G46" s="590">
        <v>13.224</v>
      </c>
      <c r="H46" s="590">
        <v>12.930999999999999</v>
      </c>
      <c r="I46" s="590">
        <v>0</v>
      </c>
      <c r="J46" s="590">
        <v>0</v>
      </c>
      <c r="K46" s="590">
        <v>2.3140000000000001</v>
      </c>
      <c r="L46" s="590">
        <v>28.573</v>
      </c>
      <c r="M46" s="590">
        <v>28.527000000000001</v>
      </c>
      <c r="N46" s="590">
        <v>21.608000000000001</v>
      </c>
      <c r="O46" s="590">
        <v>20.347999999999999</v>
      </c>
      <c r="P46" s="589">
        <v>14.286</v>
      </c>
      <c r="Q46" s="588">
        <v>22.349</v>
      </c>
      <c r="R46" s="588">
        <v>26.492999999999999</v>
      </c>
      <c r="S46" s="588">
        <v>29.079000000000001</v>
      </c>
      <c r="T46" s="588">
        <v>17.161999999999999</v>
      </c>
      <c r="U46" s="588">
        <v>17.931999999999999</v>
      </c>
      <c r="V46" s="588">
        <v>15.965999999999999</v>
      </c>
      <c r="W46" s="588">
        <v>15.471</v>
      </c>
      <c r="X46" s="588">
        <v>15.156000000000001</v>
      </c>
      <c r="Y46" s="588">
        <v>19.748999999999999</v>
      </c>
      <c r="Z46" s="588">
        <v>20.137</v>
      </c>
      <c r="AA46" s="588">
        <v>16.039000000000001</v>
      </c>
      <c r="AB46" s="588">
        <v>16.678999999999998</v>
      </c>
      <c r="AC46" s="588">
        <v>14.779</v>
      </c>
      <c r="AD46" s="588">
        <v>8.9670000000000005</v>
      </c>
      <c r="AE46" s="588">
        <v>17.969000000000001</v>
      </c>
      <c r="AF46" s="588">
        <v>12.199</v>
      </c>
      <c r="AG46" s="588">
        <v>19.338000000000001</v>
      </c>
      <c r="AH46" s="588">
        <v>13.664999999999999</v>
      </c>
      <c r="AI46" s="588">
        <v>13.867000000000001</v>
      </c>
      <c r="AJ46" s="588">
        <v>12.61</v>
      </c>
      <c r="AK46" s="588">
        <v>9.4770000000000003</v>
      </c>
      <c r="AL46" s="588">
        <v>24.736000000000001</v>
      </c>
      <c r="AM46" s="588">
        <v>22.79</v>
      </c>
      <c r="AN46" s="588">
        <v>20.224</v>
      </c>
      <c r="AO46" s="588">
        <v>26.013000000000002</v>
      </c>
      <c r="AP46" s="588">
        <v>21.124400000000001</v>
      </c>
      <c r="AQ46" s="588">
        <v>21.829000000000001</v>
      </c>
      <c r="AR46" s="588">
        <v>25.065999999999999</v>
      </c>
      <c r="AS46" s="587">
        <v>23.600999999999999</v>
      </c>
      <c r="AT46" s="587">
        <v>17.055</v>
      </c>
      <c r="AU46" s="587">
        <v>20.029299999999999</v>
      </c>
      <c r="AV46" s="587">
        <v>29.14</v>
      </c>
      <c r="AW46" s="587">
        <v>29.077000000000002</v>
      </c>
      <c r="AX46" s="587">
        <v>27.286000000000001</v>
      </c>
      <c r="AY46" s="493">
        <v>43.000999999999998</v>
      </c>
      <c r="AZ46" s="493">
        <v>23.693999999999999</v>
      </c>
      <c r="BA46" s="587">
        <v>24.798999999999999</v>
      </c>
      <c r="BB46" s="587">
        <v>24.946999999999999</v>
      </c>
      <c r="BC46" s="587">
        <v>28.045999999999999</v>
      </c>
      <c r="BD46" s="587">
        <v>30.378</v>
      </c>
      <c r="BE46" s="587">
        <v>22.88</v>
      </c>
      <c r="BF46" s="587">
        <v>13.045</v>
      </c>
      <c r="BG46" s="587">
        <v>20.029</v>
      </c>
      <c r="BH46" s="587">
        <v>27.78</v>
      </c>
      <c r="BI46" s="587">
        <v>30.274999999999999</v>
      </c>
      <c r="BJ46" s="587">
        <v>29.039000000000001</v>
      </c>
      <c r="BK46" s="587">
        <v>29.074000000000002</v>
      </c>
      <c r="BL46" s="587">
        <v>25.446000000000002</v>
      </c>
      <c r="BM46" s="587">
        <v>28.748999999999999</v>
      </c>
      <c r="BN46" s="587">
        <v>40.079000000000001</v>
      </c>
      <c r="BO46" s="587">
        <v>35.064999999999998</v>
      </c>
      <c r="BP46" s="587">
        <v>35.509</v>
      </c>
      <c r="BQ46" s="586">
        <v>23.286999999999999</v>
      </c>
      <c r="BR46" s="586">
        <v>32.15</v>
      </c>
      <c r="BS46" s="586">
        <v>34.749000000000002</v>
      </c>
      <c r="BT46" s="586">
        <v>36.484000000000002</v>
      </c>
      <c r="BU46" s="586">
        <v>39.241999999999997</v>
      </c>
      <c r="BV46" s="586">
        <v>32.561</v>
      </c>
      <c r="BW46" s="586">
        <v>33.136000000000003</v>
      </c>
      <c r="BX46" s="586">
        <v>23.088999999999999</v>
      </c>
      <c r="BY46" s="586">
        <v>31.395</v>
      </c>
      <c r="BZ46" s="586">
        <v>20.399000000000001</v>
      </c>
      <c r="CA46" s="586">
        <v>25.989000000000001</v>
      </c>
      <c r="CB46" s="586">
        <v>27.219000000000001</v>
      </c>
      <c r="CC46" s="586">
        <v>43.183</v>
      </c>
      <c r="CD46" s="586">
        <v>35.017000000000003</v>
      </c>
      <c r="CE46" s="586">
        <v>28.366</v>
      </c>
      <c r="CF46" s="586">
        <v>30.081</v>
      </c>
      <c r="CG46" s="586">
        <v>28.204999999999998</v>
      </c>
      <c r="CH46" s="586">
        <v>37.091999999999999</v>
      </c>
      <c r="CI46" s="586">
        <v>32.515000000000001</v>
      </c>
      <c r="CJ46" s="586">
        <v>24.507999999999999</v>
      </c>
      <c r="CK46" s="586">
        <v>20.05</v>
      </c>
      <c r="CL46" s="586">
        <v>27.530840000000001</v>
      </c>
      <c r="CM46" s="586">
        <v>15.576801970397</v>
      </c>
      <c r="CN46" s="586">
        <v>7.0439999999999996</v>
      </c>
      <c r="CO46" s="586">
        <v>16.088000000000001</v>
      </c>
      <c r="CP46" s="586">
        <v>31.507999999999999</v>
      </c>
      <c r="CQ46" s="586">
        <v>30.145</v>
      </c>
      <c r="CR46" s="586">
        <v>25.023</v>
      </c>
      <c r="CS46" s="586">
        <v>12.566000000000001</v>
      </c>
      <c r="CT46" s="586">
        <v>18.001000000000001</v>
      </c>
      <c r="CU46" s="586">
        <v>17.03</v>
      </c>
      <c r="CV46" s="586">
        <v>26.012</v>
      </c>
      <c r="CW46" s="586">
        <v>15.1021900055587</v>
      </c>
      <c r="CX46" s="586">
        <v>18.66844</v>
      </c>
      <c r="CY46" s="586">
        <v>13.70804</v>
      </c>
      <c r="CZ46" s="586">
        <v>18.628509999999999</v>
      </c>
      <c r="DA46" s="586">
        <v>14.2006</v>
      </c>
      <c r="DB46" s="586">
        <v>7.6505400000000003</v>
      </c>
      <c r="DC46" s="586">
        <v>14.805</v>
      </c>
      <c r="DD46" s="586">
        <v>19.231000000000002</v>
      </c>
      <c r="DE46" s="586">
        <v>14.336101990749601</v>
      </c>
      <c r="DF46" s="586">
        <v>18.795000000000002</v>
      </c>
      <c r="DG46" s="586">
        <v>17.509</v>
      </c>
      <c r="DH46" s="586">
        <v>15.885</v>
      </c>
      <c r="DI46" s="586">
        <v>20.681000000000001</v>
      </c>
      <c r="DJ46" s="586">
        <v>20.11</v>
      </c>
      <c r="DK46" s="493">
        <f>SUM(CU46:CX46)</f>
        <v>76.812630005558702</v>
      </c>
      <c r="DL46" s="493">
        <f>SUM(DG46:DJ46)</f>
        <v>74.185000000000002</v>
      </c>
      <c r="DM46" s="493">
        <f>((DL46/DK46)-1)*100</f>
        <v>-3.4208306698632063</v>
      </c>
    </row>
    <row r="47" spans="2:176" ht="80.099999999999994" customHeight="1" thickBot="1">
      <c r="B47" s="585" t="s">
        <v>152</v>
      </c>
      <c r="C47" s="584">
        <v>1.87</v>
      </c>
      <c r="D47" s="584">
        <v>2.6960000000000002</v>
      </c>
      <c r="E47" s="584">
        <v>2.7839999999999998</v>
      </c>
      <c r="F47" s="584">
        <v>2.093</v>
      </c>
      <c r="G47" s="584">
        <v>2.8450000000000002</v>
      </c>
      <c r="H47" s="584">
        <v>3.5209999999999999</v>
      </c>
      <c r="I47" s="584">
        <v>4.7290000000000001</v>
      </c>
      <c r="J47" s="584">
        <v>1.6839999999999999</v>
      </c>
      <c r="K47" s="584">
        <v>0</v>
      </c>
      <c r="L47" s="584">
        <v>0</v>
      </c>
      <c r="M47" s="584">
        <v>4.6470000000000002</v>
      </c>
      <c r="N47" s="584">
        <v>6.5640000000000001</v>
      </c>
      <c r="O47" s="584">
        <v>7.4059999999999997</v>
      </c>
      <c r="P47" s="583">
        <v>0</v>
      </c>
      <c r="Q47" s="582">
        <v>5.6660000000000004</v>
      </c>
      <c r="R47" s="582">
        <v>5.7539999999999996</v>
      </c>
      <c r="S47" s="582">
        <v>10.96</v>
      </c>
      <c r="T47" s="582">
        <v>12.513</v>
      </c>
      <c r="U47" s="582">
        <v>8.84</v>
      </c>
      <c r="V47" s="582">
        <v>7.2450000000000001</v>
      </c>
      <c r="W47" s="582">
        <v>4.1050000000000004</v>
      </c>
      <c r="X47" s="582">
        <v>4.9969999999999999</v>
      </c>
      <c r="Y47" s="582">
        <v>4.5259999999999998</v>
      </c>
      <c r="Z47" s="582">
        <v>10.222</v>
      </c>
      <c r="AA47" s="582">
        <v>3.42</v>
      </c>
      <c r="AB47" s="582">
        <v>5.3970000000000002</v>
      </c>
      <c r="AC47" s="582">
        <v>0</v>
      </c>
      <c r="AD47" s="582">
        <v>7.3579999999999997</v>
      </c>
      <c r="AE47" s="582">
        <v>12.178000000000001</v>
      </c>
      <c r="AF47" s="582">
        <v>13.231999999999999</v>
      </c>
      <c r="AG47" s="582">
        <v>9.0879999999999992</v>
      </c>
      <c r="AH47" s="582">
        <v>0</v>
      </c>
      <c r="AI47" s="582">
        <v>0</v>
      </c>
      <c r="AJ47" s="582">
        <v>0</v>
      </c>
      <c r="AK47" s="582">
        <v>0</v>
      </c>
      <c r="AL47" s="582">
        <v>0</v>
      </c>
      <c r="AM47" s="582">
        <v>2.6920000000000002</v>
      </c>
      <c r="AN47" s="582">
        <v>6.9139999999999997</v>
      </c>
      <c r="AO47" s="582">
        <v>9.7379999999999995</v>
      </c>
      <c r="AP47" s="582">
        <v>1.139</v>
      </c>
      <c r="AQ47" s="582">
        <v>7.8070000000000004</v>
      </c>
      <c r="AR47" s="582">
        <v>5.4169999999999998</v>
      </c>
      <c r="AS47" s="580">
        <v>4.5599999999999996</v>
      </c>
      <c r="AT47" s="580">
        <v>2.4860000000000002</v>
      </c>
      <c r="AU47" s="580">
        <v>0.97499999999999998</v>
      </c>
      <c r="AV47" s="580">
        <v>1.9810000000000001</v>
      </c>
      <c r="AW47" s="580">
        <v>0</v>
      </c>
      <c r="AX47" s="580">
        <v>0</v>
      </c>
      <c r="AY47" s="579">
        <v>0</v>
      </c>
      <c r="AZ47" s="579">
        <v>0</v>
      </c>
      <c r="BA47" s="580">
        <v>0</v>
      </c>
      <c r="BB47" s="580">
        <v>3.8069999999999999</v>
      </c>
      <c r="BC47" s="580">
        <v>0</v>
      </c>
      <c r="BD47" s="580">
        <v>12.28</v>
      </c>
      <c r="BE47" s="580">
        <v>5.9669999999999996</v>
      </c>
      <c r="BF47" s="580">
        <v>0</v>
      </c>
      <c r="BG47" s="580">
        <v>0.97499999999999998</v>
      </c>
      <c r="BH47" s="580">
        <v>0.48199999999999998</v>
      </c>
      <c r="BI47" s="580">
        <v>13.61</v>
      </c>
      <c r="BJ47" s="580">
        <v>6.2060000000000004</v>
      </c>
      <c r="BK47" s="580">
        <v>0.38900000000000001</v>
      </c>
      <c r="BL47" s="580">
        <v>0</v>
      </c>
      <c r="BM47" s="580">
        <v>8.8170000000000002</v>
      </c>
      <c r="BN47" s="581">
        <v>2.5859999999999999</v>
      </c>
      <c r="BO47" s="581">
        <v>0</v>
      </c>
      <c r="BP47" s="581">
        <v>0</v>
      </c>
      <c r="BQ47" s="581">
        <v>14.778</v>
      </c>
      <c r="BR47" s="581">
        <v>9.26</v>
      </c>
      <c r="BS47" s="581">
        <v>0</v>
      </c>
      <c r="BT47" s="581">
        <v>0</v>
      </c>
      <c r="BU47" s="581">
        <v>0</v>
      </c>
      <c r="BV47" s="581">
        <v>0</v>
      </c>
      <c r="BW47" s="581">
        <v>13.131</v>
      </c>
      <c r="BX47" s="581">
        <v>0</v>
      </c>
      <c r="BY47" s="581">
        <v>0</v>
      </c>
      <c r="BZ47" s="581">
        <v>0</v>
      </c>
      <c r="CA47" s="581">
        <v>14.106</v>
      </c>
      <c r="CB47" s="581">
        <v>8.1760000000000002</v>
      </c>
      <c r="CC47" s="581">
        <v>2.7210000000000001</v>
      </c>
      <c r="CD47" s="581">
        <v>0</v>
      </c>
      <c r="CE47" s="581">
        <v>8.9999999999999993E-3</v>
      </c>
      <c r="CF47" s="579">
        <v>0</v>
      </c>
      <c r="CG47" s="580">
        <v>11.704000000000001</v>
      </c>
      <c r="CH47" s="580">
        <v>7.9429999999999996</v>
      </c>
      <c r="CI47" s="580">
        <v>3.2</v>
      </c>
      <c r="CJ47" s="580">
        <v>0</v>
      </c>
      <c r="CK47" s="580">
        <v>12.574</v>
      </c>
      <c r="CL47" s="580">
        <v>3.0790000000000002</v>
      </c>
      <c r="CM47" s="580">
        <v>14.505000000000001</v>
      </c>
      <c r="CN47" s="580">
        <v>15.544</v>
      </c>
      <c r="CO47" s="580">
        <v>13.085000000000001</v>
      </c>
      <c r="CP47" s="580">
        <v>3.7639999999999998</v>
      </c>
      <c r="CQ47" s="580">
        <v>0.61299999999999999</v>
      </c>
      <c r="CR47" s="580">
        <v>6.2</v>
      </c>
      <c r="CS47" s="580">
        <v>2.9220000000000002</v>
      </c>
      <c r="CT47" s="580">
        <v>3.22</v>
      </c>
      <c r="CU47" s="580">
        <v>1.3680000000000001</v>
      </c>
      <c r="CV47" s="580">
        <v>5.4109999999999996</v>
      </c>
      <c r="CW47" s="580">
        <v>7.0620000000000003</v>
      </c>
      <c r="CX47" s="580">
        <v>7.774</v>
      </c>
      <c r="CY47" s="580">
        <v>0</v>
      </c>
      <c r="CZ47" s="580">
        <v>9.6039999999999992</v>
      </c>
      <c r="DA47" s="580">
        <v>12.486000000000001</v>
      </c>
      <c r="DB47" s="580">
        <v>7.907</v>
      </c>
      <c r="DC47" s="580">
        <v>15.025</v>
      </c>
      <c r="DD47" s="580">
        <v>11.601000000000001</v>
      </c>
      <c r="DE47" s="580">
        <v>5.3890000000000002</v>
      </c>
      <c r="DF47" s="580">
        <v>0</v>
      </c>
      <c r="DG47" s="580">
        <v>0</v>
      </c>
      <c r="DH47" s="580">
        <v>12.038</v>
      </c>
      <c r="DI47" s="580">
        <v>7.7720000000000002</v>
      </c>
      <c r="DJ47" s="580">
        <v>11.093999999999999</v>
      </c>
      <c r="DK47" s="580">
        <f>SUM(CU47:CX47)</f>
        <v>21.615000000000002</v>
      </c>
      <c r="DL47" s="580">
        <f>SUM(DG47:DJ47)</f>
        <v>30.904000000000003</v>
      </c>
      <c r="DM47" s="579">
        <f>((DL47/DK47)-1)*100</f>
        <v>42.974786028221132</v>
      </c>
    </row>
    <row r="48" spans="2:176" ht="80.099999999999994" customHeight="1">
      <c r="B48" s="576" t="s">
        <v>151</v>
      </c>
      <c r="C48" s="575"/>
      <c r="D48" s="575"/>
      <c r="E48" s="575"/>
      <c r="F48" s="575"/>
      <c r="G48" s="575"/>
      <c r="H48" s="575"/>
      <c r="I48" s="575"/>
      <c r="J48" s="575"/>
      <c r="K48" s="575"/>
      <c r="L48" s="575"/>
      <c r="M48" s="575"/>
      <c r="N48" s="575"/>
      <c r="O48" s="575"/>
      <c r="P48" s="575"/>
      <c r="Q48" s="575"/>
      <c r="R48" s="575"/>
      <c r="S48" s="575"/>
      <c r="T48" s="575"/>
      <c r="U48" s="575"/>
      <c r="V48" s="575"/>
      <c r="W48" s="575"/>
      <c r="X48" s="575"/>
      <c r="Y48" s="575"/>
      <c r="Z48" s="575"/>
      <c r="AA48" s="575"/>
      <c r="AB48" s="575"/>
      <c r="AC48" s="567"/>
      <c r="AD48" s="567"/>
      <c r="AE48" s="567"/>
      <c r="AF48" s="567"/>
      <c r="AG48" s="567"/>
      <c r="AH48" s="567"/>
      <c r="AI48" s="567"/>
      <c r="AJ48" s="567"/>
      <c r="AK48" s="567"/>
      <c r="AL48" s="567"/>
      <c r="AM48" s="567"/>
      <c r="AN48" s="567"/>
      <c r="AO48" s="567"/>
      <c r="AP48" s="567"/>
      <c r="AQ48" s="567"/>
      <c r="AR48" s="567"/>
      <c r="AS48" s="567"/>
      <c r="AT48" s="567"/>
      <c r="AU48" s="567"/>
      <c r="AV48" s="567"/>
      <c r="AW48" s="567"/>
      <c r="AX48" s="567"/>
      <c r="AY48" s="567"/>
      <c r="AZ48" s="567"/>
      <c r="BA48" s="567"/>
      <c r="BB48" s="567"/>
      <c r="BC48" s="567"/>
      <c r="BD48" s="567"/>
      <c r="BE48" s="567"/>
      <c r="BF48" s="567"/>
      <c r="BG48" s="567"/>
      <c r="BH48" s="567"/>
      <c r="BI48" s="567"/>
      <c r="BJ48" s="567"/>
      <c r="BK48" s="567"/>
      <c r="BL48" s="567"/>
      <c r="BM48" s="567"/>
      <c r="BN48" s="567"/>
      <c r="BO48" s="567"/>
      <c r="BP48" s="567"/>
      <c r="BQ48" s="567"/>
      <c r="BR48" s="567"/>
      <c r="BS48" s="567"/>
      <c r="BT48" s="567"/>
      <c r="BU48" s="567"/>
      <c r="BV48" s="567"/>
      <c r="BW48" s="567"/>
      <c r="BX48" s="567"/>
      <c r="BY48" s="577"/>
      <c r="BZ48" s="577"/>
      <c r="CA48" s="577"/>
      <c r="CB48" s="577"/>
      <c r="CC48" s="577"/>
      <c r="CD48" s="577"/>
      <c r="CE48" s="577"/>
      <c r="CF48" s="577"/>
      <c r="CG48" s="577"/>
      <c r="CH48" s="577"/>
      <c r="CI48" s="577"/>
      <c r="CJ48" s="577"/>
      <c r="CK48" s="577"/>
      <c r="CL48" s="577"/>
      <c r="CM48" s="577"/>
      <c r="CN48" s="577"/>
      <c r="CO48" s="577"/>
      <c r="CP48" s="577"/>
      <c r="CQ48" s="577"/>
      <c r="CR48" s="577"/>
      <c r="CS48" s="577"/>
      <c r="CT48" s="577"/>
      <c r="CU48" s="577"/>
      <c r="CV48" s="577"/>
      <c r="CW48" s="577"/>
      <c r="CX48" s="577"/>
      <c r="CY48" s="577"/>
      <c r="CZ48" s="577"/>
      <c r="DA48" s="577"/>
      <c r="DB48" s="577"/>
      <c r="DC48" s="577"/>
      <c r="DD48" s="577"/>
      <c r="DE48" s="577"/>
      <c r="DF48" s="577"/>
      <c r="DG48" s="577"/>
      <c r="DH48" s="577"/>
      <c r="DI48" s="577"/>
      <c r="DJ48" s="577"/>
      <c r="DK48" s="577"/>
      <c r="DL48" s="577"/>
      <c r="DM48" s="577"/>
    </row>
    <row r="49" spans="2:174" ht="80.099999999999994" customHeight="1">
      <c r="B49" s="578"/>
      <c r="C49" s="575"/>
      <c r="D49" s="575"/>
      <c r="E49" s="575"/>
      <c r="F49" s="575"/>
      <c r="G49" s="575"/>
      <c r="H49" s="575"/>
      <c r="I49" s="575"/>
      <c r="J49" s="575"/>
      <c r="K49" s="575"/>
      <c r="L49" s="575"/>
      <c r="M49" s="575"/>
      <c r="N49" s="575"/>
      <c r="O49" s="575"/>
      <c r="P49" s="575"/>
      <c r="Q49" s="575"/>
      <c r="R49" s="575"/>
      <c r="S49" s="575"/>
      <c r="T49" s="575"/>
      <c r="U49" s="575"/>
      <c r="V49" s="575"/>
      <c r="W49" s="575"/>
      <c r="X49" s="575"/>
      <c r="Y49" s="575"/>
      <c r="Z49" s="575"/>
      <c r="AA49" s="575"/>
      <c r="AB49" s="575"/>
      <c r="AC49" s="567"/>
      <c r="AD49" s="567"/>
      <c r="AE49" s="567"/>
      <c r="AF49" s="567"/>
      <c r="AG49" s="567"/>
      <c r="AH49" s="567"/>
      <c r="AI49" s="567"/>
      <c r="AJ49" s="567"/>
      <c r="AK49" s="567"/>
      <c r="AL49" s="567"/>
      <c r="AM49" s="567"/>
      <c r="AN49" s="567"/>
      <c r="AO49" s="567"/>
      <c r="AP49" s="567"/>
      <c r="AQ49" s="567"/>
      <c r="AR49" s="567"/>
      <c r="AS49" s="567"/>
      <c r="AT49" s="567"/>
      <c r="AU49" s="567"/>
      <c r="AV49" s="567"/>
      <c r="AW49" s="567"/>
      <c r="AX49" s="567"/>
      <c r="AY49" s="573"/>
      <c r="AZ49" s="573"/>
      <c r="BA49" s="573"/>
      <c r="BB49" s="573"/>
      <c r="BC49" s="573"/>
      <c r="BD49" s="573"/>
      <c r="BE49" s="573"/>
      <c r="BF49" s="573"/>
      <c r="BG49" s="573"/>
      <c r="BH49" s="573"/>
      <c r="BI49" s="573"/>
      <c r="BJ49" s="573"/>
      <c r="BK49" s="573"/>
      <c r="BL49" s="573"/>
      <c r="BM49" s="573"/>
      <c r="BN49" s="573"/>
      <c r="BO49" s="573"/>
      <c r="BP49" s="573"/>
      <c r="BQ49" s="573"/>
      <c r="BR49" s="573"/>
      <c r="BS49" s="573"/>
      <c r="BT49" s="573"/>
      <c r="BU49" s="573"/>
      <c r="BV49" s="573"/>
      <c r="BW49" s="573"/>
      <c r="BX49" s="573"/>
      <c r="BY49" s="577"/>
      <c r="BZ49" s="577"/>
      <c r="CA49" s="577"/>
      <c r="CB49" s="577"/>
      <c r="CC49" s="577"/>
      <c r="CD49" s="577"/>
      <c r="CE49" s="577"/>
      <c r="CF49" s="577"/>
      <c r="CG49" s="577"/>
      <c r="CH49" s="577"/>
      <c r="CI49" s="577"/>
      <c r="CJ49" s="577"/>
      <c r="CK49" s="577"/>
      <c r="CL49" s="577"/>
      <c r="CM49" s="577"/>
      <c r="CN49" s="577"/>
      <c r="CO49" s="577"/>
      <c r="CP49" s="577"/>
      <c r="CQ49" s="577"/>
      <c r="CR49" s="577"/>
      <c r="CS49" s="577"/>
      <c r="CT49" s="577"/>
      <c r="CU49" s="577"/>
      <c r="CV49" s="577"/>
      <c r="CW49" s="577"/>
      <c r="CX49" s="577"/>
      <c r="CY49" s="577"/>
      <c r="CZ49" s="577"/>
      <c r="DA49" s="577"/>
      <c r="DB49" s="577"/>
      <c r="DC49" s="577"/>
      <c r="DD49" s="577"/>
      <c r="DE49" s="577"/>
      <c r="DF49" s="577"/>
      <c r="DG49" s="577"/>
      <c r="DH49" s="577"/>
      <c r="DI49" s="577"/>
      <c r="DJ49" s="577"/>
      <c r="DK49" s="577"/>
      <c r="DL49" s="577"/>
      <c r="DM49" s="577"/>
    </row>
    <row r="50" spans="2:174" ht="80.099999999999994" customHeight="1">
      <c r="BY50" s="573"/>
      <c r="BZ50" s="573"/>
      <c r="CA50" s="573"/>
      <c r="CB50" s="573"/>
      <c r="CC50" s="573"/>
      <c r="CD50" s="573"/>
      <c r="CE50" s="573"/>
      <c r="CF50" s="573"/>
      <c r="CG50" s="573"/>
      <c r="CH50" s="573"/>
      <c r="CI50" s="573"/>
      <c r="CJ50" s="573"/>
      <c r="CK50" s="573"/>
      <c r="CL50" s="573"/>
      <c r="CM50" s="573"/>
      <c r="CN50" s="573"/>
      <c r="CO50" s="573"/>
      <c r="CP50" s="573"/>
      <c r="CQ50" s="573"/>
      <c r="CR50" s="573"/>
      <c r="CS50" s="573"/>
      <c r="CT50" s="573"/>
      <c r="CU50" s="573"/>
      <c r="CV50" s="573"/>
      <c r="CW50" s="573"/>
      <c r="CX50" s="573"/>
      <c r="CY50" s="573"/>
      <c r="CZ50" s="573"/>
      <c r="DA50" s="573"/>
      <c r="DB50" s="573"/>
      <c r="DC50" s="573"/>
      <c r="DD50" s="573"/>
      <c r="DE50" s="573"/>
      <c r="DF50" s="573"/>
      <c r="DG50" s="573"/>
      <c r="DH50" s="573"/>
      <c r="DI50" s="573"/>
      <c r="DJ50" s="573"/>
      <c r="DK50" s="571"/>
      <c r="DL50" s="571"/>
      <c r="DM50" s="566"/>
    </row>
    <row r="51" spans="2:174" ht="80.099999999999994" customHeight="1">
      <c r="B51" s="576"/>
      <c r="C51" s="575"/>
      <c r="D51" s="575"/>
      <c r="E51" s="575"/>
      <c r="F51" s="575"/>
      <c r="G51" s="575"/>
      <c r="H51" s="575"/>
      <c r="I51" s="575"/>
      <c r="J51" s="575"/>
      <c r="K51" s="575"/>
      <c r="L51" s="575"/>
      <c r="M51" s="575"/>
      <c r="N51" s="575"/>
      <c r="O51" s="575"/>
      <c r="P51" s="575"/>
      <c r="Q51" s="575"/>
      <c r="R51" s="575"/>
      <c r="S51" s="575"/>
      <c r="T51" s="575"/>
      <c r="U51" s="575"/>
      <c r="V51" s="575"/>
      <c r="W51" s="575"/>
      <c r="X51" s="575"/>
      <c r="Y51" s="575"/>
      <c r="Z51" s="575"/>
      <c r="AA51" s="575"/>
      <c r="AB51" s="575"/>
      <c r="AC51" s="567"/>
      <c r="AD51" s="567"/>
      <c r="AE51" s="567"/>
      <c r="AF51" s="567"/>
      <c r="AG51" s="567"/>
      <c r="AH51" s="567"/>
      <c r="AI51" s="567"/>
      <c r="AJ51" s="567"/>
      <c r="AK51" s="567"/>
      <c r="AL51" s="567"/>
      <c r="AM51" s="567"/>
      <c r="AN51" s="567"/>
      <c r="AO51" s="567"/>
      <c r="AP51" s="567"/>
      <c r="AQ51" s="567"/>
      <c r="AR51" s="567"/>
      <c r="AS51" s="567"/>
      <c r="AT51" s="567"/>
      <c r="AU51" s="567"/>
      <c r="AV51" s="567"/>
      <c r="AW51" s="567"/>
      <c r="AX51" s="567"/>
      <c r="AY51" s="573"/>
      <c r="AZ51" s="573"/>
      <c r="BA51" s="573"/>
      <c r="BB51" s="573"/>
      <c r="BC51" s="573"/>
      <c r="BD51" s="573"/>
      <c r="BE51" s="573"/>
      <c r="BF51" s="573"/>
      <c r="BG51" s="573"/>
      <c r="BH51" s="573"/>
      <c r="BI51" s="573"/>
      <c r="BJ51" s="573"/>
      <c r="BK51" s="573"/>
      <c r="BL51" s="573"/>
      <c r="BM51" s="573"/>
      <c r="BN51" s="573"/>
      <c r="BO51" s="573"/>
      <c r="BP51" s="573"/>
      <c r="BQ51" s="573"/>
      <c r="BR51" s="573"/>
      <c r="BS51" s="573"/>
      <c r="BT51" s="573"/>
      <c r="BU51" s="573"/>
      <c r="BV51" s="573"/>
      <c r="BW51" s="574"/>
      <c r="BX51" s="573"/>
      <c r="BY51" s="573"/>
      <c r="BZ51" s="573"/>
      <c r="CA51" s="573"/>
      <c r="CB51" s="573"/>
      <c r="CC51" s="573"/>
      <c r="CD51" s="573"/>
      <c r="CE51" s="573"/>
      <c r="CF51" s="573"/>
      <c r="CG51" s="573"/>
      <c r="CH51" s="573"/>
      <c r="CI51" s="573"/>
      <c r="CJ51" s="573"/>
      <c r="CK51" s="573"/>
      <c r="CL51" s="573"/>
      <c r="CM51" s="573"/>
      <c r="CN51" s="573"/>
      <c r="CO51" s="573"/>
      <c r="CP51" s="573"/>
      <c r="CQ51" s="573"/>
      <c r="CR51" s="573"/>
      <c r="CS51" s="573"/>
      <c r="CT51" s="573"/>
      <c r="CU51" s="573"/>
      <c r="CV51" s="573"/>
      <c r="CW51" s="573"/>
      <c r="CX51" s="573"/>
      <c r="CY51" s="573"/>
      <c r="CZ51" s="573"/>
      <c r="DA51" s="573"/>
      <c r="DB51" s="573"/>
      <c r="DC51" s="573"/>
      <c r="DD51" s="573"/>
      <c r="DE51" s="573"/>
      <c r="DF51" s="573"/>
      <c r="DG51" s="573"/>
      <c r="DH51" s="573"/>
      <c r="DI51" s="573"/>
      <c r="DJ51" s="573"/>
      <c r="DK51" s="572"/>
      <c r="DL51" s="571"/>
      <c r="DM51" s="566"/>
    </row>
    <row r="52" spans="2:174" ht="80.099999999999994" customHeight="1">
      <c r="B52" s="570" t="s">
        <v>150</v>
      </c>
      <c r="C52" s="569"/>
      <c r="D52" s="569"/>
      <c r="E52" s="569"/>
      <c r="F52" s="569"/>
      <c r="G52" s="569"/>
      <c r="H52" s="569"/>
      <c r="I52" s="569"/>
      <c r="J52" s="569"/>
      <c r="K52" s="569"/>
      <c r="L52" s="569"/>
      <c r="M52" s="569"/>
      <c r="N52" s="569"/>
      <c r="O52" s="569"/>
      <c r="P52" s="569"/>
      <c r="Q52" s="569"/>
      <c r="R52" s="569"/>
      <c r="S52" s="569"/>
      <c r="T52" s="569"/>
      <c r="U52" s="569"/>
      <c r="V52" s="569"/>
      <c r="W52" s="569"/>
      <c r="X52" s="569"/>
      <c r="Y52" s="569"/>
      <c r="Z52" s="569"/>
      <c r="AA52" s="569"/>
      <c r="AB52" s="569"/>
      <c r="AC52" s="568"/>
      <c r="AD52" s="568"/>
      <c r="AE52" s="568"/>
      <c r="AF52" s="568"/>
      <c r="AG52" s="568"/>
      <c r="AH52" s="568"/>
      <c r="AI52" s="568"/>
      <c r="AJ52" s="568"/>
      <c r="AK52" s="568"/>
      <c r="AL52" s="568"/>
      <c r="AM52" s="568"/>
      <c r="AN52" s="568"/>
      <c r="AO52" s="568"/>
      <c r="AP52" s="568"/>
      <c r="AQ52" s="568"/>
      <c r="AR52" s="568"/>
      <c r="AS52" s="568"/>
      <c r="AT52" s="568"/>
      <c r="AU52" s="568"/>
      <c r="AV52" s="568"/>
      <c r="AW52" s="568"/>
      <c r="AX52" s="568"/>
      <c r="AY52" s="568"/>
      <c r="AZ52" s="568"/>
      <c r="BA52" s="568"/>
      <c r="BB52" s="568"/>
      <c r="BC52" s="568"/>
      <c r="BD52" s="568"/>
      <c r="BE52" s="567"/>
      <c r="BF52" s="567"/>
      <c r="BG52" s="567"/>
      <c r="BH52" s="567"/>
      <c r="BI52" s="567"/>
      <c r="BJ52" s="567"/>
      <c r="BK52" s="567"/>
      <c r="BL52" s="567"/>
      <c r="BM52" s="567"/>
      <c r="BN52" s="567"/>
      <c r="BO52" s="567"/>
      <c r="BP52" s="567"/>
      <c r="BQ52" s="567"/>
      <c r="BR52" s="567"/>
      <c r="BS52" s="567"/>
      <c r="BT52" s="567"/>
      <c r="BU52" s="567"/>
      <c r="BV52" s="567"/>
      <c r="BW52" s="567"/>
      <c r="BX52" s="567"/>
      <c r="BY52" s="567"/>
      <c r="BZ52" s="567"/>
      <c r="CA52" s="567"/>
      <c r="CB52" s="567"/>
      <c r="CC52" s="567"/>
      <c r="CD52" s="567"/>
      <c r="CE52" s="567"/>
      <c r="CF52" s="567"/>
      <c r="CG52" s="567"/>
      <c r="CH52" s="567"/>
      <c r="CI52" s="567"/>
      <c r="CJ52" s="567"/>
      <c r="CK52" s="567"/>
      <c r="CL52" s="567"/>
      <c r="CM52" s="567"/>
      <c r="CN52" s="567"/>
      <c r="CO52" s="567"/>
      <c r="CP52" s="567"/>
      <c r="CQ52" s="567"/>
      <c r="CR52" s="567"/>
      <c r="CS52" s="567"/>
      <c r="CT52" s="567"/>
      <c r="CU52" s="567"/>
      <c r="CV52" s="567"/>
      <c r="CW52" s="567"/>
      <c r="CX52" s="567"/>
      <c r="CY52" s="567"/>
      <c r="CZ52" s="567"/>
      <c r="DA52" s="567"/>
      <c r="DB52" s="567"/>
      <c r="DC52" s="567"/>
      <c r="DD52" s="567"/>
      <c r="DE52" s="567"/>
      <c r="DF52" s="567"/>
      <c r="DG52" s="567"/>
      <c r="DH52" s="567"/>
      <c r="DI52" s="567"/>
      <c r="DJ52" s="567"/>
      <c r="DK52" s="566"/>
      <c r="DL52" s="566"/>
      <c r="DM52" s="566"/>
      <c r="DN52" s="565"/>
      <c r="DO52" s="564"/>
      <c r="DP52" s="564"/>
      <c r="DQ52" s="564"/>
      <c r="DR52" s="564"/>
      <c r="DS52" s="564"/>
      <c r="DT52" s="564"/>
      <c r="DU52" s="564"/>
      <c r="DV52" s="564"/>
      <c r="DW52" s="564"/>
      <c r="DX52" s="564"/>
      <c r="DY52" s="564"/>
      <c r="DZ52" s="564"/>
      <c r="EA52" s="564"/>
      <c r="EB52" s="564"/>
      <c r="EC52" s="564"/>
      <c r="ED52" s="564"/>
      <c r="EE52" s="564"/>
      <c r="EF52" s="564"/>
      <c r="EG52" s="564"/>
      <c r="EH52" s="564"/>
      <c r="EI52" s="564"/>
      <c r="EJ52" s="564"/>
      <c r="EK52" s="564"/>
      <c r="EL52" s="564"/>
      <c r="EM52" s="564"/>
      <c r="EN52" s="564"/>
      <c r="EO52" s="564"/>
      <c r="EP52" s="564"/>
      <c r="EQ52" s="564"/>
      <c r="ER52" s="564"/>
      <c r="ES52" s="564"/>
      <c r="ET52" s="564"/>
      <c r="EU52" s="564"/>
      <c r="EV52" s="564"/>
      <c r="EW52" s="564"/>
      <c r="EX52" s="564"/>
      <c r="EY52" s="564"/>
      <c r="EZ52" s="564"/>
      <c r="FA52" s="564"/>
      <c r="FB52" s="564"/>
      <c r="FC52" s="564"/>
      <c r="FD52" s="564"/>
      <c r="FE52" s="564"/>
      <c r="FF52" s="564"/>
      <c r="FG52" s="564"/>
      <c r="FH52" s="564"/>
      <c r="FI52" s="564"/>
      <c r="FJ52" s="564"/>
      <c r="FK52" s="564"/>
      <c r="FL52" s="564"/>
      <c r="FM52" s="564"/>
      <c r="FN52" s="564"/>
      <c r="FO52" s="564"/>
      <c r="FP52" s="564"/>
      <c r="FQ52" s="564"/>
    </row>
    <row r="53" spans="2:174" ht="80.099999999999994" customHeight="1" thickBot="1">
      <c r="C53" s="559"/>
      <c r="D53" s="559"/>
      <c r="E53" s="559"/>
      <c r="F53" s="559"/>
      <c r="G53" s="551"/>
      <c r="H53" s="551"/>
      <c r="I53" s="551"/>
      <c r="J53" s="551"/>
      <c r="K53" s="551"/>
      <c r="L53" s="551"/>
      <c r="M53" s="551"/>
      <c r="N53" s="551"/>
      <c r="O53" s="551"/>
      <c r="P53" s="551"/>
      <c r="Q53" s="551"/>
      <c r="R53" s="551"/>
      <c r="S53" s="551"/>
      <c r="T53" s="551"/>
      <c r="U53" s="551"/>
      <c r="V53" s="551"/>
      <c r="W53" s="551"/>
      <c r="X53" s="551"/>
      <c r="Y53" s="551"/>
      <c r="Z53" s="551"/>
      <c r="AA53" s="551"/>
      <c r="AB53" s="551"/>
      <c r="AC53" s="551"/>
      <c r="AD53" s="551"/>
      <c r="AE53" s="551"/>
      <c r="AF53" s="551"/>
      <c r="AG53" s="551"/>
      <c r="AH53" s="551"/>
      <c r="AI53" s="551"/>
      <c r="AJ53" s="551"/>
      <c r="AK53" s="551"/>
      <c r="AL53" s="551"/>
      <c r="AM53" s="551"/>
      <c r="AN53" s="551"/>
      <c r="AO53" s="551"/>
      <c r="AP53" s="551"/>
      <c r="AQ53" s="551"/>
      <c r="AR53" s="551"/>
      <c r="AS53" s="551"/>
      <c r="AT53" s="551"/>
      <c r="AU53" s="563"/>
      <c r="AV53" s="563"/>
      <c r="AW53" s="563"/>
      <c r="AX53" s="563"/>
      <c r="AY53" s="563"/>
      <c r="AZ53" s="563"/>
      <c r="BA53" s="563"/>
      <c r="BB53" s="563"/>
      <c r="BC53" s="563"/>
      <c r="BD53" s="563"/>
      <c r="BE53" s="562"/>
      <c r="BF53" s="562"/>
      <c r="BG53" s="562"/>
      <c r="BH53" s="562"/>
      <c r="BI53" s="562"/>
      <c r="BJ53" s="562"/>
      <c r="BK53" s="562"/>
      <c r="BL53" s="562"/>
      <c r="BM53" s="562"/>
      <c r="BN53" s="562"/>
      <c r="BO53" s="562"/>
      <c r="BP53" s="562"/>
      <c r="BQ53" s="562"/>
      <c r="BR53" s="562"/>
      <c r="BS53" s="562"/>
      <c r="BT53" s="562"/>
      <c r="BU53" s="562"/>
      <c r="BV53" s="562"/>
      <c r="BW53" s="562"/>
      <c r="BX53" s="562"/>
      <c r="BY53" s="562"/>
      <c r="BZ53" s="562"/>
      <c r="CA53" s="562"/>
      <c r="CB53" s="562"/>
      <c r="CC53" s="562"/>
      <c r="CD53" s="562"/>
      <c r="CE53" s="562"/>
      <c r="CF53" s="562"/>
      <c r="CG53" s="562"/>
      <c r="CH53" s="562"/>
      <c r="CI53" s="562"/>
      <c r="CJ53" s="562"/>
      <c r="CK53" s="562"/>
      <c r="CL53" s="562"/>
      <c r="CM53" s="562"/>
      <c r="CN53" s="562"/>
      <c r="CO53" s="562"/>
      <c r="CP53" s="562"/>
      <c r="CQ53" s="562"/>
      <c r="CR53" s="562"/>
      <c r="CS53" s="562"/>
      <c r="CT53" s="562"/>
      <c r="CU53" s="562"/>
      <c r="CV53" s="562"/>
      <c r="CW53" s="562"/>
      <c r="CX53" s="562"/>
      <c r="CY53" s="562"/>
      <c r="CZ53" s="562"/>
      <c r="DA53" s="562"/>
      <c r="DB53" s="562"/>
      <c r="DC53" s="562"/>
      <c r="DD53" s="562"/>
      <c r="DE53" s="562"/>
      <c r="DF53" s="562"/>
      <c r="DG53" s="562"/>
      <c r="DH53" s="562"/>
      <c r="DI53" s="562"/>
      <c r="DJ53" s="562"/>
      <c r="DK53" s="562"/>
      <c r="DL53" s="562"/>
      <c r="DM53" s="562"/>
      <c r="DN53" s="561"/>
      <c r="DO53" s="339"/>
      <c r="DP53" s="339"/>
      <c r="DQ53" s="339"/>
      <c r="DR53" s="339"/>
      <c r="DS53" s="339"/>
      <c r="DT53" s="339"/>
      <c r="DU53" s="339"/>
      <c r="DV53" s="339"/>
      <c r="DW53" s="339"/>
      <c r="DX53" s="339"/>
      <c r="DY53" s="339"/>
      <c r="DZ53" s="339"/>
      <c r="EA53" s="339"/>
      <c r="EB53" s="339"/>
      <c r="EC53" s="339"/>
      <c r="ED53" s="339"/>
      <c r="EE53" s="339"/>
      <c r="EF53" s="339"/>
      <c r="EG53" s="339"/>
      <c r="EH53" s="339"/>
      <c r="EI53" s="339"/>
      <c r="EJ53" s="339"/>
      <c r="EK53" s="339"/>
      <c r="EL53" s="339"/>
      <c r="EM53" s="339"/>
      <c r="EN53" s="339"/>
      <c r="EO53" s="339"/>
      <c r="EP53" s="339"/>
      <c r="EQ53" s="339"/>
      <c r="ER53" s="339"/>
      <c r="ES53" s="339"/>
      <c r="ET53" s="339"/>
      <c r="EU53" s="339"/>
      <c r="EV53" s="339"/>
      <c r="EW53" s="339"/>
      <c r="EX53" s="339"/>
      <c r="EY53" s="339"/>
      <c r="EZ53" s="339"/>
      <c r="FA53" s="339"/>
      <c r="FB53" s="339"/>
      <c r="FC53" s="339"/>
      <c r="FD53" s="339"/>
      <c r="FE53" s="339"/>
      <c r="FF53" s="339"/>
      <c r="FG53" s="339"/>
      <c r="FH53" s="339"/>
      <c r="FI53" s="339"/>
      <c r="FJ53" s="339"/>
      <c r="FK53" s="339"/>
      <c r="FL53" s="339"/>
      <c r="FM53" s="339"/>
      <c r="FN53" s="339"/>
      <c r="FO53" s="339"/>
      <c r="FP53" s="339"/>
      <c r="FQ53" s="339"/>
      <c r="FR53" s="339"/>
    </row>
    <row r="54" spans="2:174" ht="80.099999999999994" customHeight="1">
      <c r="B54" s="560"/>
      <c r="C54" s="559"/>
      <c r="D54" s="559"/>
      <c r="E54" s="559"/>
      <c r="F54" s="559"/>
      <c r="G54" s="551"/>
      <c r="H54" s="551"/>
      <c r="I54" s="551"/>
      <c r="J54" s="551"/>
      <c r="K54" s="558">
        <v>2006</v>
      </c>
      <c r="L54" s="557"/>
      <c r="M54" s="557"/>
      <c r="N54" s="557"/>
      <c r="O54" s="556">
        <v>2007</v>
      </c>
      <c r="P54" s="555"/>
      <c r="Q54" s="555"/>
      <c r="R54" s="555"/>
      <c r="S54" s="555"/>
      <c r="T54" s="555"/>
      <c r="U54" s="555"/>
      <c r="V54" s="555"/>
      <c r="W54" s="555"/>
      <c r="X54" s="555"/>
      <c r="Y54" s="555"/>
      <c r="Z54" s="555"/>
      <c r="AA54" s="556">
        <v>2008</v>
      </c>
      <c r="AB54" s="555"/>
      <c r="AC54" s="555"/>
      <c r="AD54" s="555"/>
      <c r="AE54" s="555"/>
      <c r="AF54" s="555"/>
      <c r="AG54" s="555"/>
      <c r="AH54" s="555"/>
      <c r="AI54" s="555"/>
      <c r="AJ54" s="555"/>
      <c r="AK54" s="555"/>
      <c r="AL54" s="555"/>
      <c r="AM54" s="556">
        <v>2009</v>
      </c>
      <c r="AN54" s="555"/>
      <c r="AO54" s="555"/>
      <c r="AP54" s="555"/>
      <c r="AQ54" s="555"/>
      <c r="AR54" s="555"/>
      <c r="AS54" s="818">
        <v>2009</v>
      </c>
      <c r="AT54" s="818">
        <v>2009</v>
      </c>
      <c r="AU54" s="818">
        <v>2009</v>
      </c>
      <c r="AV54" s="818">
        <v>2009</v>
      </c>
      <c r="AW54" s="818">
        <v>2009</v>
      </c>
      <c r="AX54" s="812">
        <v>2009</v>
      </c>
      <c r="AY54" s="553"/>
      <c r="AZ54" s="553"/>
      <c r="BA54" s="810">
        <v>2010</v>
      </c>
      <c r="BB54" s="822">
        <v>2010</v>
      </c>
      <c r="BC54" s="818">
        <v>2010</v>
      </c>
      <c r="BD54" s="818">
        <v>2010</v>
      </c>
      <c r="BE54" s="554"/>
      <c r="BF54" s="814">
        <v>2010</v>
      </c>
      <c r="BG54" s="553"/>
      <c r="BH54" s="808">
        <v>2010</v>
      </c>
      <c r="BI54" s="802">
        <v>2010</v>
      </c>
      <c r="BJ54" s="804"/>
      <c r="BK54" s="802">
        <v>2011</v>
      </c>
      <c r="BL54" s="803"/>
      <c r="BM54" s="803"/>
      <c r="BN54" s="803"/>
      <c r="BO54" s="803"/>
      <c r="BP54" s="803"/>
      <c r="BQ54" s="803"/>
      <c r="BR54" s="803"/>
      <c r="BS54" s="803"/>
      <c r="BT54" s="803"/>
      <c r="BU54" s="803"/>
      <c r="BV54" s="804"/>
      <c r="BW54" s="802">
        <v>2012</v>
      </c>
      <c r="BX54" s="803"/>
      <c r="BY54" s="803"/>
      <c r="BZ54" s="803"/>
      <c r="CA54" s="803"/>
      <c r="CB54" s="803"/>
      <c r="CC54" s="803"/>
      <c r="CD54" s="803"/>
      <c r="CE54" s="803"/>
      <c r="CF54" s="803"/>
      <c r="CG54" s="803"/>
      <c r="CH54" s="804"/>
      <c r="CI54" s="802">
        <v>2013</v>
      </c>
      <c r="CJ54" s="803"/>
      <c r="CK54" s="803"/>
      <c r="CL54" s="803"/>
      <c r="CM54" s="803"/>
      <c r="CN54" s="803"/>
      <c r="CO54" s="803"/>
      <c r="CP54" s="803"/>
      <c r="CQ54" s="803"/>
      <c r="CR54" s="803"/>
      <c r="CS54" s="803"/>
      <c r="CT54" s="804"/>
      <c r="CU54" s="802">
        <v>2014</v>
      </c>
      <c r="CV54" s="803"/>
      <c r="CW54" s="803"/>
      <c r="CX54" s="803"/>
      <c r="CY54" s="803"/>
      <c r="CZ54" s="803"/>
      <c r="DA54" s="803"/>
      <c r="DB54" s="803"/>
      <c r="DC54" s="803"/>
      <c r="DD54" s="803"/>
      <c r="DE54" s="803"/>
      <c r="DF54" s="804"/>
      <c r="DG54" s="802">
        <v>2015</v>
      </c>
      <c r="DH54" s="803"/>
      <c r="DI54" s="803"/>
      <c r="DJ54" s="804"/>
      <c r="DK54" s="826" t="s">
        <v>149</v>
      </c>
      <c r="DL54" s="873"/>
      <c r="DM54" s="873" t="s">
        <v>123</v>
      </c>
    </row>
    <row r="55" spans="2:174" ht="80.099999999999994" customHeight="1" thickBot="1">
      <c r="B55" s="552"/>
      <c r="C55" s="551"/>
      <c r="D55" s="551"/>
      <c r="E55" s="551"/>
      <c r="F55" s="551"/>
      <c r="G55" s="551"/>
      <c r="H55" s="551"/>
      <c r="I55" s="551"/>
      <c r="J55" s="551"/>
      <c r="K55" s="550"/>
      <c r="L55" s="549"/>
      <c r="M55" s="549"/>
      <c r="N55" s="549"/>
      <c r="O55" s="548"/>
      <c r="P55" s="547"/>
      <c r="Q55" s="547"/>
      <c r="R55" s="547"/>
      <c r="S55" s="547"/>
      <c r="T55" s="547"/>
      <c r="U55" s="547"/>
      <c r="V55" s="547"/>
      <c r="W55" s="547"/>
      <c r="X55" s="547"/>
      <c r="Y55" s="547"/>
      <c r="Z55" s="547"/>
      <c r="AA55" s="548"/>
      <c r="AB55" s="547"/>
      <c r="AC55" s="547"/>
      <c r="AD55" s="547"/>
      <c r="AE55" s="547"/>
      <c r="AF55" s="547"/>
      <c r="AG55" s="547"/>
      <c r="AH55" s="547"/>
      <c r="AI55" s="547"/>
      <c r="AJ55" s="547"/>
      <c r="AK55" s="547"/>
      <c r="AL55" s="547"/>
      <c r="AM55" s="548"/>
      <c r="AN55" s="547"/>
      <c r="AO55" s="547"/>
      <c r="AP55" s="547"/>
      <c r="AQ55" s="547"/>
      <c r="AR55" s="547"/>
      <c r="AS55" s="819"/>
      <c r="AT55" s="819"/>
      <c r="AU55" s="819"/>
      <c r="AV55" s="819"/>
      <c r="AW55" s="819"/>
      <c r="AX55" s="813"/>
      <c r="AY55" s="545"/>
      <c r="AZ55" s="545"/>
      <c r="BA55" s="811"/>
      <c r="BB55" s="823"/>
      <c r="BC55" s="819"/>
      <c r="BD55" s="819"/>
      <c r="BE55" s="546"/>
      <c r="BF55" s="815"/>
      <c r="BG55" s="545"/>
      <c r="BH55" s="809"/>
      <c r="BI55" s="805"/>
      <c r="BJ55" s="807"/>
      <c r="BK55" s="805"/>
      <c r="BL55" s="806"/>
      <c r="BM55" s="806"/>
      <c r="BN55" s="806"/>
      <c r="BO55" s="806"/>
      <c r="BP55" s="806"/>
      <c r="BQ55" s="806"/>
      <c r="BR55" s="806"/>
      <c r="BS55" s="806"/>
      <c r="BT55" s="806"/>
      <c r="BU55" s="806"/>
      <c r="BV55" s="807"/>
      <c r="BW55" s="805"/>
      <c r="BX55" s="806"/>
      <c r="BY55" s="806"/>
      <c r="BZ55" s="806"/>
      <c r="CA55" s="806"/>
      <c r="CB55" s="806"/>
      <c r="CC55" s="806"/>
      <c r="CD55" s="806"/>
      <c r="CE55" s="806"/>
      <c r="CF55" s="806"/>
      <c r="CG55" s="806"/>
      <c r="CH55" s="807"/>
      <c r="CI55" s="805"/>
      <c r="CJ55" s="806"/>
      <c r="CK55" s="806"/>
      <c r="CL55" s="806"/>
      <c r="CM55" s="806"/>
      <c r="CN55" s="806"/>
      <c r="CO55" s="806"/>
      <c r="CP55" s="806"/>
      <c r="CQ55" s="806"/>
      <c r="CR55" s="806"/>
      <c r="CS55" s="806"/>
      <c r="CT55" s="807"/>
      <c r="CU55" s="805"/>
      <c r="CV55" s="806"/>
      <c r="CW55" s="806"/>
      <c r="CX55" s="806"/>
      <c r="CY55" s="806"/>
      <c r="CZ55" s="806"/>
      <c r="DA55" s="806"/>
      <c r="DB55" s="806"/>
      <c r="DC55" s="806"/>
      <c r="DD55" s="806"/>
      <c r="DE55" s="806"/>
      <c r="DF55" s="807"/>
      <c r="DG55" s="805"/>
      <c r="DH55" s="806"/>
      <c r="DI55" s="806"/>
      <c r="DJ55" s="807"/>
      <c r="DK55" s="827"/>
      <c r="DL55" s="874"/>
      <c r="DM55" s="874"/>
    </row>
    <row r="56" spans="2:174" ht="80.099999999999994" customHeight="1" thickBot="1">
      <c r="B56" s="544"/>
      <c r="C56" s="543" t="s">
        <v>2</v>
      </c>
      <c r="D56" s="541" t="s">
        <v>148</v>
      </c>
      <c r="E56" s="543" t="s">
        <v>147</v>
      </c>
      <c r="F56" s="541" t="s">
        <v>146</v>
      </c>
      <c r="G56" s="541" t="s">
        <v>145</v>
      </c>
      <c r="H56" s="541" t="s">
        <v>144</v>
      </c>
      <c r="I56" s="541" t="s">
        <v>143</v>
      </c>
      <c r="J56" s="541" t="s">
        <v>142</v>
      </c>
      <c r="K56" s="541" t="s">
        <v>141</v>
      </c>
      <c r="L56" s="542" t="s">
        <v>140</v>
      </c>
      <c r="M56" s="541" t="s">
        <v>139</v>
      </c>
      <c r="N56" s="540" t="s">
        <v>138</v>
      </c>
      <c r="O56" s="539" t="s">
        <v>14</v>
      </c>
      <c r="P56" s="538" t="s">
        <v>3</v>
      </c>
      <c r="Q56" s="538" t="s">
        <v>4</v>
      </c>
      <c r="R56" s="538" t="s">
        <v>137</v>
      </c>
      <c r="S56" s="538" t="s">
        <v>6</v>
      </c>
      <c r="T56" s="538" t="s">
        <v>7</v>
      </c>
      <c r="U56" s="538" t="s">
        <v>8</v>
      </c>
      <c r="V56" s="538" t="s">
        <v>9</v>
      </c>
      <c r="W56" s="538" t="s">
        <v>10</v>
      </c>
      <c r="X56" s="538" t="s">
        <v>11</v>
      </c>
      <c r="Y56" s="537" t="s">
        <v>12</v>
      </c>
      <c r="Z56" s="536" t="s">
        <v>13</v>
      </c>
      <c r="AA56" s="535" t="s">
        <v>122</v>
      </c>
      <c r="AB56" s="534" t="s">
        <v>3</v>
      </c>
      <c r="AC56" s="534" t="s">
        <v>4</v>
      </c>
      <c r="AD56" s="534" t="s">
        <v>5</v>
      </c>
      <c r="AE56" s="534" t="s">
        <v>6</v>
      </c>
      <c r="AF56" s="534" t="s">
        <v>7</v>
      </c>
      <c r="AG56" s="534" t="s">
        <v>17</v>
      </c>
      <c r="AH56" s="534" t="s">
        <v>18</v>
      </c>
      <c r="AI56" s="534" t="s">
        <v>10</v>
      </c>
      <c r="AJ56" s="534" t="s">
        <v>11</v>
      </c>
      <c r="AK56" s="534" t="s">
        <v>12</v>
      </c>
      <c r="AL56" s="534" t="s">
        <v>13</v>
      </c>
      <c r="AM56" s="535" t="s">
        <v>19</v>
      </c>
      <c r="AN56" s="534" t="s">
        <v>20</v>
      </c>
      <c r="AO56" s="534" t="s">
        <v>4</v>
      </c>
      <c r="AP56" s="534" t="s">
        <v>5</v>
      </c>
      <c r="AQ56" s="534" t="s">
        <v>6</v>
      </c>
      <c r="AR56" s="534" t="s">
        <v>7</v>
      </c>
      <c r="AS56" s="530" t="s">
        <v>17</v>
      </c>
      <c r="AT56" s="530" t="s">
        <v>18</v>
      </c>
      <c r="AU56" s="533" t="s">
        <v>21</v>
      </c>
      <c r="AV56" s="530" t="s">
        <v>22</v>
      </c>
      <c r="AW56" s="532" t="s">
        <v>23</v>
      </c>
      <c r="AX56" s="530" t="s">
        <v>24</v>
      </c>
      <c r="AY56" s="530" t="s">
        <v>34</v>
      </c>
      <c r="AZ56" s="446" t="s">
        <v>116</v>
      </c>
      <c r="BA56" s="531" t="s">
        <v>26</v>
      </c>
      <c r="BB56" s="530" t="s">
        <v>5</v>
      </c>
      <c r="BC56" s="531" t="s">
        <v>28</v>
      </c>
      <c r="BD56" s="530" t="s">
        <v>7</v>
      </c>
      <c r="BE56" s="530" t="s">
        <v>17</v>
      </c>
      <c r="BF56" s="530" t="s">
        <v>18</v>
      </c>
      <c r="BG56" s="530" t="s">
        <v>21</v>
      </c>
      <c r="BH56" s="530" t="s">
        <v>22</v>
      </c>
      <c r="BI56" s="530" t="s">
        <v>23</v>
      </c>
      <c r="BJ56" s="530" t="s">
        <v>24</v>
      </c>
      <c r="BK56" s="443" t="s">
        <v>115</v>
      </c>
      <c r="BL56" s="440">
        <v>40575</v>
      </c>
      <c r="BM56" s="440">
        <v>40603</v>
      </c>
      <c r="BN56" s="440">
        <v>40634</v>
      </c>
      <c r="BO56" s="440" t="s">
        <v>6</v>
      </c>
      <c r="BP56" s="440" t="s">
        <v>7</v>
      </c>
      <c r="BQ56" s="440" t="s">
        <v>17</v>
      </c>
      <c r="BR56" s="440" t="s">
        <v>18</v>
      </c>
      <c r="BS56" s="440" t="s">
        <v>21</v>
      </c>
      <c r="BT56" s="440" t="s">
        <v>22</v>
      </c>
      <c r="BU56" s="440" t="s">
        <v>23</v>
      </c>
      <c r="BV56" s="440" t="s">
        <v>24</v>
      </c>
      <c r="BW56" s="441" t="s">
        <v>114</v>
      </c>
      <c r="BX56" s="442" t="s">
        <v>20</v>
      </c>
      <c r="BY56" s="442" t="s">
        <v>4</v>
      </c>
      <c r="BZ56" s="442" t="s">
        <v>5</v>
      </c>
      <c r="CA56" s="442" t="s">
        <v>6</v>
      </c>
      <c r="CB56" s="442" t="s">
        <v>7</v>
      </c>
      <c r="CC56" s="442" t="s">
        <v>17</v>
      </c>
      <c r="CD56" s="442" t="s">
        <v>18</v>
      </c>
      <c r="CE56" s="442" t="s">
        <v>21</v>
      </c>
      <c r="CF56" s="442" t="s">
        <v>22</v>
      </c>
      <c r="CG56" s="442" t="s">
        <v>23</v>
      </c>
      <c r="CH56" s="442" t="s">
        <v>24</v>
      </c>
      <c r="CI56" s="442" t="s">
        <v>34</v>
      </c>
      <c r="CJ56" s="442" t="s">
        <v>20</v>
      </c>
      <c r="CK56" s="442" t="s">
        <v>4</v>
      </c>
      <c r="CL56" s="442" t="s">
        <v>5</v>
      </c>
      <c r="CM56" s="442" t="s">
        <v>6</v>
      </c>
      <c r="CN56" s="442" t="s">
        <v>7</v>
      </c>
      <c r="CO56" s="442" t="s">
        <v>17</v>
      </c>
      <c r="CP56" s="442" t="s">
        <v>18</v>
      </c>
      <c r="CQ56" s="442" t="s">
        <v>21</v>
      </c>
      <c r="CR56" s="442" t="s">
        <v>22</v>
      </c>
      <c r="CS56" s="442" t="s">
        <v>23</v>
      </c>
      <c r="CT56" s="442" t="s">
        <v>24</v>
      </c>
      <c r="CU56" s="442" t="s">
        <v>34</v>
      </c>
      <c r="CV56" s="442" t="s">
        <v>20</v>
      </c>
      <c r="CW56" s="442" t="s">
        <v>4</v>
      </c>
      <c r="CX56" s="442" t="s">
        <v>5</v>
      </c>
      <c r="CY56" s="442" t="s">
        <v>6</v>
      </c>
      <c r="CZ56" s="442" t="s">
        <v>7</v>
      </c>
      <c r="DA56" s="442" t="s">
        <v>17</v>
      </c>
      <c r="DB56" s="442" t="s">
        <v>18</v>
      </c>
      <c r="DC56" s="442" t="s">
        <v>21</v>
      </c>
      <c r="DD56" s="442" t="s">
        <v>22</v>
      </c>
      <c r="DE56" s="442" t="s">
        <v>23</v>
      </c>
      <c r="DF56" s="442" t="s">
        <v>24</v>
      </c>
      <c r="DG56" s="442" t="s">
        <v>34</v>
      </c>
      <c r="DH56" s="442" t="s">
        <v>20</v>
      </c>
      <c r="DI56" s="442" t="s">
        <v>4</v>
      </c>
      <c r="DJ56" s="442" t="s">
        <v>5</v>
      </c>
      <c r="DK56" s="441" t="s">
        <v>113</v>
      </c>
      <c r="DL56" s="441" t="s">
        <v>112</v>
      </c>
      <c r="DM56" s="440" t="s">
        <v>111</v>
      </c>
    </row>
    <row r="57" spans="2:174" ht="80.099999999999994" customHeight="1">
      <c r="B57" s="529" t="s">
        <v>136</v>
      </c>
      <c r="C57" s="528"/>
      <c r="D57" s="527"/>
      <c r="E57" s="525"/>
      <c r="F57" s="524"/>
      <c r="G57" s="525"/>
      <c r="H57" s="525"/>
      <c r="I57" s="525"/>
      <c r="J57" s="525"/>
      <c r="K57" s="525"/>
      <c r="L57" s="527"/>
      <c r="M57" s="525"/>
      <c r="N57" s="527"/>
      <c r="O57" s="526"/>
      <c r="P57" s="525"/>
      <c r="Q57" s="525"/>
      <c r="R57" s="525"/>
      <c r="S57" s="525"/>
      <c r="T57" s="525"/>
      <c r="U57" s="525"/>
      <c r="V57" s="525"/>
      <c r="W57" s="525"/>
      <c r="X57" s="525"/>
      <c r="Y57" s="525"/>
      <c r="Z57" s="524"/>
      <c r="AA57" s="523"/>
      <c r="AB57" s="523"/>
      <c r="AC57" s="523"/>
      <c r="AD57" s="523"/>
      <c r="AE57" s="523"/>
      <c r="AF57" s="523"/>
      <c r="AG57" s="523"/>
      <c r="AH57" s="523"/>
      <c r="AI57" s="523"/>
      <c r="AJ57" s="523"/>
      <c r="AK57" s="523"/>
      <c r="AL57" s="523"/>
      <c r="AM57" s="523"/>
      <c r="AN57" s="523"/>
      <c r="AO57" s="523"/>
      <c r="AP57" s="523"/>
      <c r="AQ57" s="523"/>
      <c r="AR57" s="523"/>
      <c r="AS57" s="522"/>
      <c r="AT57" s="522"/>
      <c r="AU57" s="522"/>
      <c r="AV57" s="522"/>
      <c r="AW57" s="522"/>
      <c r="AX57" s="522"/>
      <c r="AY57" s="522"/>
      <c r="AZ57" s="520"/>
      <c r="BA57" s="520"/>
      <c r="BB57" s="520"/>
      <c r="BC57" s="520"/>
      <c r="BD57" s="520"/>
      <c r="BE57" s="520"/>
      <c r="BF57" s="520"/>
      <c r="BG57" s="520"/>
      <c r="BH57" s="520"/>
      <c r="BI57" s="520"/>
      <c r="BJ57" s="520"/>
      <c r="BK57" s="520"/>
      <c r="BL57" s="520"/>
      <c r="BM57" s="520"/>
      <c r="BN57" s="520"/>
      <c r="BO57" s="520"/>
      <c r="BP57" s="520"/>
      <c r="BQ57" s="520"/>
      <c r="BR57" s="520"/>
      <c r="BS57" s="520"/>
      <c r="BT57" s="520"/>
      <c r="BU57" s="520"/>
      <c r="BV57" s="520"/>
      <c r="BW57" s="520"/>
      <c r="BX57" s="520"/>
      <c r="BY57" s="521"/>
      <c r="BZ57" s="521"/>
      <c r="CA57" s="521"/>
      <c r="CB57" s="521"/>
      <c r="CC57" s="521"/>
      <c r="CD57" s="521"/>
      <c r="CE57" s="521"/>
      <c r="CF57" s="521"/>
      <c r="CG57" s="521"/>
      <c r="CH57" s="521"/>
      <c r="CI57" s="521"/>
      <c r="CJ57" s="521"/>
      <c r="CK57" s="521"/>
      <c r="CL57" s="521"/>
      <c r="CM57" s="521"/>
      <c r="CN57" s="521"/>
      <c r="CO57" s="521"/>
      <c r="CP57" s="521"/>
      <c r="CQ57" s="521"/>
      <c r="CR57" s="521"/>
      <c r="CS57" s="521"/>
      <c r="CT57" s="521"/>
      <c r="CU57" s="521"/>
      <c r="CV57" s="521"/>
      <c r="CW57" s="521"/>
      <c r="CX57" s="521"/>
      <c r="CY57" s="521"/>
      <c r="CZ57" s="521"/>
      <c r="DA57" s="521"/>
      <c r="DB57" s="521"/>
      <c r="DC57" s="521"/>
      <c r="DD57" s="521"/>
      <c r="DE57" s="521"/>
      <c r="DF57" s="521"/>
      <c r="DG57" s="521"/>
      <c r="DH57" s="521"/>
      <c r="DI57" s="521"/>
      <c r="DJ57" s="521"/>
      <c r="DK57" s="493"/>
      <c r="DL57" s="520"/>
      <c r="DM57" s="519"/>
    </row>
    <row r="58" spans="2:174" ht="80.099999999999994" customHeight="1">
      <c r="B58" s="517" t="s">
        <v>132</v>
      </c>
      <c r="C58" s="502">
        <v>15493.7</v>
      </c>
      <c r="D58" s="501">
        <v>16811</v>
      </c>
      <c r="E58" s="499">
        <v>18405</v>
      </c>
      <c r="F58" s="498">
        <v>16801</v>
      </c>
      <c r="G58" s="499">
        <v>20128</v>
      </c>
      <c r="H58" s="499">
        <v>12726</v>
      </c>
      <c r="I58" s="499">
        <v>17157</v>
      </c>
      <c r="J58" s="499">
        <v>15808</v>
      </c>
      <c r="K58" s="499">
        <v>13745</v>
      </c>
      <c r="L58" s="501">
        <v>14813</v>
      </c>
      <c r="M58" s="499">
        <v>14847</v>
      </c>
      <c r="N58" s="501">
        <v>21826</v>
      </c>
      <c r="O58" s="500">
        <v>14074</v>
      </c>
      <c r="P58" s="499">
        <v>19005</v>
      </c>
      <c r="Q58" s="499">
        <v>21544</v>
      </c>
      <c r="R58" s="499">
        <v>14575</v>
      </c>
      <c r="S58" s="499">
        <v>17231</v>
      </c>
      <c r="T58" s="499">
        <v>18468</v>
      </c>
      <c r="U58" s="499">
        <v>15908</v>
      </c>
      <c r="V58" s="499">
        <f>(U58+T58)/2</f>
        <v>17188</v>
      </c>
      <c r="W58" s="499">
        <v>17401</v>
      </c>
      <c r="X58" s="499">
        <v>18133</v>
      </c>
      <c r="Y58" s="499">
        <v>20217</v>
      </c>
      <c r="Z58" s="498">
        <v>17225</v>
      </c>
      <c r="AA58" s="497">
        <v>25053</v>
      </c>
      <c r="AB58" s="497">
        <v>22370</v>
      </c>
      <c r="AC58" s="497">
        <v>19361</v>
      </c>
      <c r="AD58" s="497">
        <v>24009</v>
      </c>
      <c r="AE58" s="497">
        <v>19698</v>
      </c>
      <c r="AF58" s="497">
        <v>18669</v>
      </c>
      <c r="AG58" s="497">
        <v>19641</v>
      </c>
      <c r="AH58" s="497">
        <v>14569</v>
      </c>
      <c r="AI58" s="497">
        <v>18707</v>
      </c>
      <c r="AJ58" s="497">
        <v>17310</v>
      </c>
      <c r="AK58" s="497">
        <v>20424</v>
      </c>
      <c r="AL58" s="497">
        <v>20765</v>
      </c>
      <c r="AM58" s="497">
        <v>19882</v>
      </c>
      <c r="AN58" s="497">
        <v>14459</v>
      </c>
      <c r="AO58" s="497">
        <v>21963</v>
      </c>
      <c r="AP58" s="497">
        <v>17939</v>
      </c>
      <c r="AQ58" s="497">
        <v>21863</v>
      </c>
      <c r="AR58" s="497">
        <v>14172</v>
      </c>
      <c r="AS58" s="516">
        <v>21389</v>
      </c>
      <c r="AT58" s="516">
        <v>16793</v>
      </c>
      <c r="AU58" s="516">
        <v>19759</v>
      </c>
      <c r="AV58" s="516">
        <v>18376</v>
      </c>
      <c r="AW58" s="516">
        <v>12157</v>
      </c>
      <c r="AX58" s="516">
        <v>23545</v>
      </c>
      <c r="AY58" s="516">
        <v>16744</v>
      </c>
      <c r="AZ58" s="506">
        <v>18212</v>
      </c>
      <c r="BA58" s="506">
        <v>20145</v>
      </c>
      <c r="BB58" s="506">
        <v>17535.5</v>
      </c>
      <c r="BC58" s="506">
        <v>16449.5</v>
      </c>
      <c r="BD58" s="506">
        <v>19769</v>
      </c>
      <c r="BE58" s="506">
        <v>19627</v>
      </c>
      <c r="BF58" s="506">
        <v>19457</v>
      </c>
      <c r="BG58" s="506">
        <v>19730</v>
      </c>
      <c r="BH58" s="506">
        <v>21610</v>
      </c>
      <c r="BI58" s="506">
        <v>19940</v>
      </c>
      <c r="BJ58" s="506">
        <v>22406</v>
      </c>
      <c r="BK58" s="506">
        <v>18926</v>
      </c>
      <c r="BL58" s="506">
        <v>20188</v>
      </c>
      <c r="BM58" s="506">
        <v>21910</v>
      </c>
      <c r="BN58" s="506">
        <v>15461</v>
      </c>
      <c r="BO58" s="506">
        <v>22206</v>
      </c>
      <c r="BP58" s="506">
        <v>24279</v>
      </c>
      <c r="BQ58" s="506">
        <v>23999</v>
      </c>
      <c r="BR58" s="506">
        <v>25913</v>
      </c>
      <c r="BS58" s="506">
        <v>18814</v>
      </c>
      <c r="BT58" s="506">
        <v>24891</v>
      </c>
      <c r="BU58" s="505">
        <v>22746</v>
      </c>
      <c r="BV58" s="505">
        <v>18917</v>
      </c>
      <c r="BW58" s="505">
        <v>19017</v>
      </c>
      <c r="BX58" s="505">
        <v>16700</v>
      </c>
      <c r="BY58" s="505">
        <v>21410</v>
      </c>
      <c r="BZ58" s="505">
        <v>18337</v>
      </c>
      <c r="CA58" s="505">
        <v>22700</v>
      </c>
      <c r="CB58" s="505">
        <v>22919</v>
      </c>
      <c r="CC58" s="505">
        <v>18973</v>
      </c>
      <c r="CD58" s="505">
        <v>19320</v>
      </c>
      <c r="CE58" s="505">
        <v>20107</v>
      </c>
      <c r="CF58" s="505">
        <v>19865</v>
      </c>
      <c r="CG58" s="505">
        <v>23874</v>
      </c>
      <c r="CH58" s="505">
        <v>14109</v>
      </c>
      <c r="CI58" s="505">
        <v>20473</v>
      </c>
      <c r="CJ58" s="505">
        <v>22441</v>
      </c>
      <c r="CK58" s="505">
        <v>20890</v>
      </c>
      <c r="CL58" s="505">
        <v>17136</v>
      </c>
      <c r="CM58" s="505">
        <v>18728</v>
      </c>
      <c r="CN58" s="505">
        <v>18172</v>
      </c>
      <c r="CO58" s="505">
        <v>20332</v>
      </c>
      <c r="CP58" s="505">
        <v>17523</v>
      </c>
      <c r="CQ58" s="505">
        <v>16331</v>
      </c>
      <c r="CR58" s="505">
        <v>21531</v>
      </c>
      <c r="CS58" s="505">
        <v>23647</v>
      </c>
      <c r="CT58" s="505">
        <v>25115</v>
      </c>
      <c r="CU58" s="505">
        <v>11228</v>
      </c>
      <c r="CV58" s="505">
        <v>18099</v>
      </c>
      <c r="CW58" s="505">
        <v>19643</v>
      </c>
      <c r="CX58" s="505">
        <v>23238</v>
      </c>
      <c r="CY58" s="505">
        <v>25528</v>
      </c>
      <c r="CZ58" s="505">
        <v>19380</v>
      </c>
      <c r="DA58" s="505">
        <v>21865</v>
      </c>
      <c r="DB58" s="505">
        <v>23053</v>
      </c>
      <c r="DC58" s="505">
        <v>21056</v>
      </c>
      <c r="DD58" s="505">
        <v>18555</v>
      </c>
      <c r="DE58" s="505">
        <v>18880</v>
      </c>
      <c r="DF58" s="505">
        <v>27691</v>
      </c>
      <c r="DG58" s="505">
        <v>27744</v>
      </c>
      <c r="DH58" s="505">
        <v>20281</v>
      </c>
      <c r="DI58" s="505">
        <v>24783</v>
      </c>
      <c r="DJ58" s="505">
        <v>21147</v>
      </c>
      <c r="DK58" s="493">
        <f>SUM(CU58:CX58)</f>
        <v>72208</v>
      </c>
      <c r="DL58" s="493">
        <f>SUM(DG58:DJ58)</f>
        <v>93955</v>
      </c>
      <c r="DM58" s="492">
        <f>((DL58/DK58)-1)*100</f>
        <v>30.117161533348114</v>
      </c>
    </row>
    <row r="59" spans="2:174" ht="80.099999999999994" customHeight="1">
      <c r="B59" s="518" t="s">
        <v>135</v>
      </c>
      <c r="C59" s="502">
        <v>2074</v>
      </c>
      <c r="D59" s="501">
        <v>2358</v>
      </c>
      <c r="E59" s="499">
        <v>1919</v>
      </c>
      <c r="F59" s="498">
        <v>2197</v>
      </c>
      <c r="G59" s="499">
        <v>2368</v>
      </c>
      <c r="H59" s="499">
        <v>1910</v>
      </c>
      <c r="I59" s="499">
        <v>1982</v>
      </c>
      <c r="J59" s="499">
        <v>2365</v>
      </c>
      <c r="K59" s="499">
        <v>2173</v>
      </c>
      <c r="L59" s="501">
        <v>2146</v>
      </c>
      <c r="M59" s="499">
        <v>2719</v>
      </c>
      <c r="N59" s="501">
        <v>2637</v>
      </c>
      <c r="O59" s="500">
        <v>2823</v>
      </c>
      <c r="P59" s="499">
        <v>2710</v>
      </c>
      <c r="Q59" s="499">
        <v>2673</v>
      </c>
      <c r="R59" s="499">
        <v>2738</v>
      </c>
      <c r="S59" s="499">
        <v>3252</v>
      </c>
      <c r="T59" s="499">
        <v>2094</v>
      </c>
      <c r="U59" s="499">
        <v>2615.8000000000002</v>
      </c>
      <c r="V59" s="499">
        <f>(U59+T59)/2</f>
        <v>2354.9</v>
      </c>
      <c r="W59" s="499">
        <v>2390</v>
      </c>
      <c r="X59" s="499">
        <v>2537</v>
      </c>
      <c r="Y59" s="499">
        <v>2404</v>
      </c>
      <c r="Z59" s="498">
        <v>2100</v>
      </c>
      <c r="AA59" s="497">
        <v>3603</v>
      </c>
      <c r="AB59" s="497">
        <v>2997</v>
      </c>
      <c r="AC59" s="497">
        <v>2994</v>
      </c>
      <c r="AD59" s="497">
        <v>3323</v>
      </c>
      <c r="AE59" s="497">
        <v>2565</v>
      </c>
      <c r="AF59" s="497">
        <v>2988</v>
      </c>
      <c r="AG59" s="497">
        <v>3124</v>
      </c>
      <c r="AH59" s="497">
        <v>2537</v>
      </c>
      <c r="AI59" s="497">
        <v>3475</v>
      </c>
      <c r="AJ59" s="497">
        <v>3074</v>
      </c>
      <c r="AK59" s="497">
        <v>2934</v>
      </c>
      <c r="AL59" s="497">
        <v>3255</v>
      </c>
      <c r="AM59" s="497">
        <v>3179</v>
      </c>
      <c r="AN59" s="497">
        <v>2827</v>
      </c>
      <c r="AO59" s="497">
        <v>3799</v>
      </c>
      <c r="AP59" s="497">
        <v>3515</v>
      </c>
      <c r="AQ59" s="497">
        <v>2508</v>
      </c>
      <c r="AR59" s="497">
        <v>2941</v>
      </c>
      <c r="AS59" s="516">
        <v>3202</v>
      </c>
      <c r="AT59" s="516">
        <v>2736</v>
      </c>
      <c r="AU59" s="516">
        <v>2564</v>
      </c>
      <c r="AV59" s="516">
        <v>3092</v>
      </c>
      <c r="AW59" s="516">
        <v>2528</v>
      </c>
      <c r="AX59" s="516">
        <v>4015</v>
      </c>
      <c r="AY59" s="516">
        <v>3520</v>
      </c>
      <c r="AZ59" s="506">
        <v>3378</v>
      </c>
      <c r="BA59" s="506">
        <v>3337</v>
      </c>
      <c r="BB59" s="506">
        <v>3422</v>
      </c>
      <c r="BC59" s="506">
        <v>3332</v>
      </c>
      <c r="BD59" s="506">
        <v>3242</v>
      </c>
      <c r="BE59" s="506">
        <v>3422</v>
      </c>
      <c r="BF59" s="506">
        <v>3539</v>
      </c>
      <c r="BG59" s="506">
        <v>3366</v>
      </c>
      <c r="BH59" s="506">
        <v>3426</v>
      </c>
      <c r="BI59" s="506">
        <v>3534</v>
      </c>
      <c r="BJ59" s="506">
        <v>3919</v>
      </c>
      <c r="BK59" s="506">
        <v>2932</v>
      </c>
      <c r="BL59" s="506">
        <v>3262</v>
      </c>
      <c r="BM59" s="506">
        <v>3317</v>
      </c>
      <c r="BN59" s="506">
        <v>3138</v>
      </c>
      <c r="BO59" s="506">
        <v>3287</v>
      </c>
      <c r="BP59" s="506">
        <v>3330</v>
      </c>
      <c r="BQ59" s="506">
        <v>3543</v>
      </c>
      <c r="BR59" s="506">
        <v>3251</v>
      </c>
      <c r="BS59" s="506">
        <v>3305</v>
      </c>
      <c r="BT59" s="506">
        <v>3297</v>
      </c>
      <c r="BU59" s="505">
        <f>AVERAGE(BR59:BT59)</f>
        <v>3284.3333333333335</v>
      </c>
      <c r="BV59" s="505">
        <f>AVERAGE(BS59:BU59)</f>
        <v>3295.4444444444448</v>
      </c>
      <c r="BW59" s="505">
        <v>2813</v>
      </c>
      <c r="BX59" s="505">
        <v>2720</v>
      </c>
      <c r="BY59" s="505">
        <v>2903</v>
      </c>
      <c r="BZ59" s="505">
        <v>2810</v>
      </c>
      <c r="CA59" s="505">
        <v>2743</v>
      </c>
      <c r="CB59" s="505">
        <v>2816</v>
      </c>
      <c r="CC59" s="505">
        <v>3106</v>
      </c>
      <c r="CD59" s="505">
        <v>2831</v>
      </c>
      <c r="CE59" s="505">
        <v>2971</v>
      </c>
      <c r="CF59" s="505">
        <v>2746</v>
      </c>
      <c r="CG59" s="505">
        <v>3329</v>
      </c>
      <c r="CH59" s="505">
        <v>2617</v>
      </c>
      <c r="CI59" s="505">
        <v>2811</v>
      </c>
      <c r="CJ59" s="505">
        <v>3136</v>
      </c>
      <c r="CK59" s="505">
        <f>CK58*14%</f>
        <v>2924.6000000000004</v>
      </c>
      <c r="CL59" s="505">
        <f>CL58*14%</f>
        <v>2399.0400000000004</v>
      </c>
      <c r="CM59" s="505">
        <v>2824</v>
      </c>
      <c r="CN59" s="505">
        <v>2860</v>
      </c>
      <c r="CO59" s="505">
        <v>3632</v>
      </c>
      <c r="CP59" s="505">
        <f>CP58*14%</f>
        <v>2453.2200000000003</v>
      </c>
      <c r="CQ59" s="505">
        <v>2880</v>
      </c>
      <c r="CR59" s="505">
        <v>3271</v>
      </c>
      <c r="CS59" s="505">
        <f>CS58*14%</f>
        <v>3310.5800000000004</v>
      </c>
      <c r="CT59" s="505">
        <v>3869</v>
      </c>
      <c r="CU59" s="505">
        <v>2615</v>
      </c>
      <c r="CV59" s="505">
        <v>3117</v>
      </c>
      <c r="CW59" s="505">
        <v>2746</v>
      </c>
      <c r="CX59" s="505">
        <v>3543</v>
      </c>
      <c r="CY59" s="505">
        <v>3269</v>
      </c>
      <c r="CZ59" s="505">
        <v>3742</v>
      </c>
      <c r="DA59" s="505">
        <v>3767</v>
      </c>
      <c r="DB59" s="505">
        <v>3770</v>
      </c>
      <c r="DC59" s="505">
        <v>4146</v>
      </c>
      <c r="DD59" s="505">
        <v>3700</v>
      </c>
      <c r="DE59" s="505">
        <v>3799</v>
      </c>
      <c r="DF59" s="505">
        <v>4220</v>
      </c>
      <c r="DG59" s="505">
        <v>4865.065889964405</v>
      </c>
      <c r="DH59" s="505">
        <v>3948</v>
      </c>
      <c r="DI59" s="505">
        <v>4350</v>
      </c>
      <c r="DJ59" s="505">
        <v>3452</v>
      </c>
      <c r="DK59" s="493">
        <f>SUM(CU59:CX59)</f>
        <v>12021</v>
      </c>
      <c r="DL59" s="493">
        <f>SUM(DG59:DJ59)</f>
        <v>16615.065889964404</v>
      </c>
      <c r="DM59" s="492">
        <f>((DL59/DK59)-1)*100</f>
        <v>38.217002661712044</v>
      </c>
    </row>
    <row r="60" spans="2:174" ht="80.099999999999994" customHeight="1">
      <c r="B60" s="517" t="s">
        <v>134</v>
      </c>
      <c r="C60" s="502">
        <v>13419</v>
      </c>
      <c r="D60" s="501">
        <v>14453</v>
      </c>
      <c r="E60" s="499">
        <v>16486</v>
      </c>
      <c r="F60" s="498">
        <v>14604</v>
      </c>
      <c r="G60" s="499">
        <v>17760</v>
      </c>
      <c r="H60" s="499">
        <v>10816</v>
      </c>
      <c r="I60" s="499">
        <v>15175</v>
      </c>
      <c r="J60" s="499">
        <v>13443</v>
      </c>
      <c r="K60" s="499">
        <v>11572</v>
      </c>
      <c r="L60" s="501">
        <v>12667</v>
      </c>
      <c r="M60" s="499">
        <v>12128</v>
      </c>
      <c r="N60" s="501">
        <v>19189</v>
      </c>
      <c r="O60" s="500">
        <v>11251</v>
      </c>
      <c r="P60" s="499">
        <v>16295</v>
      </c>
      <c r="Q60" s="499">
        <v>18871</v>
      </c>
      <c r="R60" s="499">
        <v>11837</v>
      </c>
      <c r="S60" s="499">
        <v>13979</v>
      </c>
      <c r="T60" s="499">
        <v>16374</v>
      </c>
      <c r="U60" s="499">
        <v>13292</v>
      </c>
      <c r="V60" s="499">
        <f>(U60+T60)/2</f>
        <v>14833</v>
      </c>
      <c r="W60" s="499">
        <v>15011</v>
      </c>
      <c r="X60" s="499">
        <v>15596</v>
      </c>
      <c r="Y60" s="499">
        <v>17813</v>
      </c>
      <c r="Z60" s="498">
        <v>15125</v>
      </c>
      <c r="AA60" s="497">
        <v>19742.099999999999</v>
      </c>
      <c r="AB60" s="497">
        <v>22370</v>
      </c>
      <c r="AC60" s="497">
        <v>16367</v>
      </c>
      <c r="AD60" s="497">
        <v>20686</v>
      </c>
      <c r="AE60" s="497">
        <v>17133</v>
      </c>
      <c r="AF60" s="497">
        <v>15681</v>
      </c>
      <c r="AG60" s="497">
        <v>16517</v>
      </c>
      <c r="AH60" s="497">
        <v>12032</v>
      </c>
      <c r="AI60" s="497">
        <v>15232</v>
      </c>
      <c r="AJ60" s="497">
        <v>14236</v>
      </c>
      <c r="AK60" s="497">
        <v>17490</v>
      </c>
      <c r="AL60" s="497">
        <v>17510</v>
      </c>
      <c r="AM60" s="497">
        <v>16672.7</v>
      </c>
      <c r="AN60" s="497">
        <v>11632</v>
      </c>
      <c r="AO60" s="497">
        <v>18164</v>
      </c>
      <c r="AP60" s="497">
        <v>14424</v>
      </c>
      <c r="AQ60" s="497">
        <v>19355</v>
      </c>
      <c r="AR60" s="497">
        <v>11231</v>
      </c>
      <c r="AS60" s="516">
        <v>18187</v>
      </c>
      <c r="AT60" s="516">
        <v>14057</v>
      </c>
      <c r="AU60" s="516">
        <v>17195</v>
      </c>
      <c r="AV60" s="516">
        <v>15284</v>
      </c>
      <c r="AW60" s="516">
        <v>9629</v>
      </c>
      <c r="AX60" s="516">
        <v>19530</v>
      </c>
      <c r="AY60" s="516">
        <v>13224</v>
      </c>
      <c r="AZ60" s="506">
        <v>14834</v>
      </c>
      <c r="BA60" s="506">
        <v>16808</v>
      </c>
      <c r="BB60" s="506">
        <v>14113.5</v>
      </c>
      <c r="BC60" s="506">
        <v>13117</v>
      </c>
      <c r="BD60" s="506">
        <v>16527</v>
      </c>
      <c r="BE60" s="506">
        <v>16205</v>
      </c>
      <c r="BF60" s="506">
        <v>15918</v>
      </c>
      <c r="BG60" s="506">
        <v>16364</v>
      </c>
      <c r="BH60" s="506">
        <v>18184</v>
      </c>
      <c r="BI60" s="506">
        <v>16406</v>
      </c>
      <c r="BJ60" s="506">
        <v>18487</v>
      </c>
      <c r="BK60" s="506">
        <v>15994</v>
      </c>
      <c r="BL60" s="506">
        <v>16926</v>
      </c>
      <c r="BM60" s="506">
        <v>18593</v>
      </c>
      <c r="BN60" s="506">
        <v>12326</v>
      </c>
      <c r="BO60" s="506">
        <v>18919</v>
      </c>
      <c r="BP60" s="506">
        <v>20949</v>
      </c>
      <c r="BQ60" s="506">
        <v>20386</v>
      </c>
      <c r="BR60" s="506">
        <v>22662</v>
      </c>
      <c r="BS60" s="506">
        <v>15509</v>
      </c>
      <c r="BT60" s="506">
        <v>21594</v>
      </c>
      <c r="BU60" s="505">
        <f>AVERAGE(BR60:BT60)</f>
        <v>19921.666666666668</v>
      </c>
      <c r="BV60" s="505">
        <f>AVERAGE(BS60:BU60)</f>
        <v>19008.222222222223</v>
      </c>
      <c r="BW60" s="505">
        <v>16258</v>
      </c>
      <c r="BX60" s="505">
        <v>13980</v>
      </c>
      <c r="BY60" s="505">
        <v>18507</v>
      </c>
      <c r="BZ60" s="505">
        <v>15527</v>
      </c>
      <c r="CA60" s="505">
        <v>19957</v>
      </c>
      <c r="CB60" s="505">
        <v>20103</v>
      </c>
      <c r="CC60" s="505">
        <v>15867</v>
      </c>
      <c r="CD60" s="505">
        <v>16489</v>
      </c>
      <c r="CE60" s="505">
        <v>17136</v>
      </c>
      <c r="CF60" s="505">
        <v>17119</v>
      </c>
      <c r="CG60" s="505">
        <v>20545</v>
      </c>
      <c r="CH60" s="505">
        <v>11492</v>
      </c>
      <c r="CI60" s="505">
        <v>17662</v>
      </c>
      <c r="CJ60" s="505">
        <v>19305</v>
      </c>
      <c r="CK60" s="505">
        <f>CK58*86%</f>
        <v>17965.400000000001</v>
      </c>
      <c r="CL60" s="505">
        <f>CL58*86%</f>
        <v>14736.96</v>
      </c>
      <c r="CM60" s="505">
        <f>CM58-CM59</f>
        <v>15904</v>
      </c>
      <c r="CN60" s="505">
        <v>15312</v>
      </c>
      <c r="CO60" s="505">
        <v>16700</v>
      </c>
      <c r="CP60" s="505">
        <f>CP58-CP59</f>
        <v>15069.779999999999</v>
      </c>
      <c r="CQ60" s="505">
        <v>13451</v>
      </c>
      <c r="CR60" s="505">
        <v>18260</v>
      </c>
      <c r="CS60" s="505">
        <f>CS58-CS59</f>
        <v>20336.419999999998</v>
      </c>
      <c r="CT60" s="505">
        <v>21246</v>
      </c>
      <c r="CU60" s="505">
        <v>8613</v>
      </c>
      <c r="CV60" s="505">
        <v>14796</v>
      </c>
      <c r="CW60" s="505">
        <v>16897</v>
      </c>
      <c r="CX60" s="505">
        <v>19695</v>
      </c>
      <c r="CY60" s="505">
        <v>22259</v>
      </c>
      <c r="CZ60" s="505">
        <v>15638</v>
      </c>
      <c r="DA60" s="505">
        <v>18098</v>
      </c>
      <c r="DB60" s="505">
        <v>19283</v>
      </c>
      <c r="DC60" s="505">
        <v>16910</v>
      </c>
      <c r="DD60" s="505">
        <v>14855</v>
      </c>
      <c r="DE60" s="505">
        <v>15081</v>
      </c>
      <c r="DF60" s="505">
        <v>23471</v>
      </c>
      <c r="DG60" s="505">
        <v>22878.934110035596</v>
      </c>
      <c r="DH60" s="505">
        <v>16333</v>
      </c>
      <c r="DI60" s="505">
        <v>20433</v>
      </c>
      <c r="DJ60" s="505">
        <v>17695</v>
      </c>
      <c r="DK60" s="493">
        <f>SUM(CU60:CX60)</f>
        <v>60001</v>
      </c>
      <c r="DL60" s="493">
        <f>SUM(DG60:DJ60)</f>
        <v>77339.934110035596</v>
      </c>
      <c r="DM60" s="492">
        <f>((DL60/DK60)-1)*100</f>
        <v>28.89774188769454</v>
      </c>
    </row>
    <row r="61" spans="2:174" ht="80.099999999999994" customHeight="1">
      <c r="B61" s="515" t="s">
        <v>133</v>
      </c>
      <c r="C61" s="514"/>
      <c r="D61" s="513"/>
      <c r="E61" s="511"/>
      <c r="F61" s="510"/>
      <c r="G61" s="511"/>
      <c r="H61" s="511"/>
      <c r="I61" s="511"/>
      <c r="J61" s="511"/>
      <c r="K61" s="511"/>
      <c r="L61" s="513"/>
      <c r="M61" s="511"/>
      <c r="N61" s="513"/>
      <c r="O61" s="512"/>
      <c r="P61" s="511"/>
      <c r="Q61" s="511"/>
      <c r="R61" s="511"/>
      <c r="S61" s="511"/>
      <c r="T61" s="511"/>
      <c r="U61" s="511"/>
      <c r="V61" s="511"/>
      <c r="W61" s="511"/>
      <c r="X61" s="511"/>
      <c r="Y61" s="511"/>
      <c r="Z61" s="510"/>
      <c r="AA61" s="509"/>
      <c r="AB61" s="509"/>
      <c r="AC61" s="509"/>
      <c r="AD61" s="509"/>
      <c r="AE61" s="509"/>
      <c r="AF61" s="509"/>
      <c r="AG61" s="509"/>
      <c r="AH61" s="509"/>
      <c r="AI61" s="509"/>
      <c r="AJ61" s="509"/>
      <c r="AK61" s="509"/>
      <c r="AL61" s="509"/>
      <c r="AM61" s="509"/>
      <c r="AN61" s="509"/>
      <c r="AO61" s="509"/>
      <c r="AP61" s="509"/>
      <c r="AQ61" s="509"/>
      <c r="AR61" s="509"/>
      <c r="AS61" s="508"/>
      <c r="AT61" s="508"/>
      <c r="AU61" s="508"/>
      <c r="AV61" s="508"/>
      <c r="AW61" s="508"/>
      <c r="AX61" s="508"/>
      <c r="AY61" s="508"/>
      <c r="AZ61" s="507"/>
      <c r="BA61" s="507"/>
      <c r="BB61" s="507"/>
      <c r="BC61" s="507"/>
      <c r="BD61" s="507"/>
      <c r="BE61" s="507"/>
      <c r="BF61" s="507"/>
      <c r="BG61" s="507"/>
      <c r="BH61" s="507"/>
      <c r="BI61" s="507"/>
      <c r="BJ61" s="507"/>
      <c r="BK61" s="507"/>
      <c r="BL61" s="507"/>
      <c r="BM61" s="507"/>
      <c r="BN61" s="506"/>
      <c r="BO61" s="506"/>
      <c r="BP61" s="506"/>
      <c r="BQ61" s="506"/>
      <c r="BR61" s="506"/>
      <c r="BS61" s="506"/>
      <c r="BT61" s="506"/>
      <c r="BU61" s="505"/>
      <c r="BV61" s="505"/>
      <c r="BW61" s="505"/>
      <c r="BX61" s="505"/>
      <c r="BY61" s="505"/>
      <c r="BZ61" s="505"/>
      <c r="CA61" s="505"/>
      <c r="CB61" s="505"/>
      <c r="CC61" s="505"/>
      <c r="CD61" s="505"/>
      <c r="CE61" s="505"/>
      <c r="CF61" s="505"/>
      <c r="CG61" s="505"/>
      <c r="CH61" s="505"/>
      <c r="CI61" s="505"/>
      <c r="CJ61" s="505"/>
      <c r="CK61" s="505"/>
      <c r="CL61" s="505"/>
      <c r="CM61" s="505"/>
      <c r="CN61" s="505"/>
      <c r="CO61" s="505"/>
      <c r="CP61" s="505"/>
      <c r="CQ61" s="505"/>
      <c r="CR61" s="505"/>
      <c r="CS61" s="505"/>
      <c r="CT61" s="505"/>
      <c r="CU61" s="505"/>
      <c r="CV61" s="505"/>
      <c r="CW61" s="505"/>
      <c r="CX61" s="505"/>
      <c r="CY61" s="505"/>
      <c r="CZ61" s="505"/>
      <c r="DA61" s="505"/>
      <c r="DB61" s="505"/>
      <c r="DC61" s="505"/>
      <c r="DD61" s="505"/>
      <c r="DE61" s="505"/>
      <c r="DF61" s="505"/>
      <c r="DG61" s="505"/>
      <c r="DH61" s="505"/>
      <c r="DI61" s="505"/>
      <c r="DJ61" s="505"/>
      <c r="DK61" s="493"/>
      <c r="DL61" s="493"/>
      <c r="DM61" s="504"/>
    </row>
    <row r="62" spans="2:174" ht="80.099999999999994" customHeight="1">
      <c r="B62" s="503" t="s">
        <v>132</v>
      </c>
      <c r="C62" s="502">
        <v>6266</v>
      </c>
      <c r="D62" s="501">
        <v>5108</v>
      </c>
      <c r="E62" s="499">
        <v>4680.3</v>
      </c>
      <c r="F62" s="498">
        <v>391.2</v>
      </c>
      <c r="G62" s="499">
        <v>0</v>
      </c>
      <c r="H62" s="499">
        <v>0</v>
      </c>
      <c r="I62" s="499">
        <v>0</v>
      </c>
      <c r="J62" s="499">
        <v>0</v>
      </c>
      <c r="K62" s="499">
        <v>0</v>
      </c>
      <c r="L62" s="501">
        <v>0</v>
      </c>
      <c r="M62" s="499">
        <v>0</v>
      </c>
      <c r="N62" s="501">
        <v>2522</v>
      </c>
      <c r="O62" s="500">
        <v>7499.5</v>
      </c>
      <c r="P62" s="499">
        <v>5222</v>
      </c>
      <c r="Q62" s="499">
        <v>13491.2</v>
      </c>
      <c r="R62" s="499">
        <v>8282</v>
      </c>
      <c r="S62" s="499">
        <v>0</v>
      </c>
      <c r="T62" s="499">
        <v>0</v>
      </c>
      <c r="U62" s="499">
        <v>0</v>
      </c>
      <c r="V62" s="499">
        <v>0</v>
      </c>
      <c r="W62" s="499">
        <v>0</v>
      </c>
      <c r="X62" s="499">
        <v>0</v>
      </c>
      <c r="Y62" s="499">
        <v>0</v>
      </c>
      <c r="Z62" s="501">
        <v>1203.23</v>
      </c>
      <c r="AA62" s="497">
        <v>5385.1</v>
      </c>
      <c r="AB62" s="497">
        <v>4333.2</v>
      </c>
      <c r="AC62" s="497">
        <v>3930.7</v>
      </c>
      <c r="AD62" s="497">
        <v>593</v>
      </c>
      <c r="AE62" s="497">
        <v>0</v>
      </c>
      <c r="AF62" s="497">
        <v>0</v>
      </c>
      <c r="AG62" s="497">
        <v>0</v>
      </c>
      <c r="AH62" s="497">
        <v>0</v>
      </c>
      <c r="AI62" s="497">
        <v>0</v>
      </c>
      <c r="AJ62" s="497">
        <v>0</v>
      </c>
      <c r="AK62" s="497">
        <v>0</v>
      </c>
      <c r="AL62" s="497">
        <v>0</v>
      </c>
      <c r="AM62" s="497">
        <v>2526.4670000000001</v>
      </c>
      <c r="AN62" s="497">
        <v>4049.337</v>
      </c>
      <c r="AO62" s="497">
        <v>3399.2820000000002</v>
      </c>
      <c r="AP62" s="497">
        <v>1087.8</v>
      </c>
      <c r="AQ62" s="497">
        <v>0</v>
      </c>
      <c r="AR62" s="497">
        <v>0</v>
      </c>
      <c r="AS62" s="494">
        <v>0</v>
      </c>
      <c r="AT62" s="494">
        <v>0</v>
      </c>
      <c r="AU62" s="494">
        <v>0</v>
      </c>
      <c r="AV62" s="494">
        <v>0</v>
      </c>
      <c r="AW62" s="494">
        <f>AVERAGE(AT62:AV62)</f>
        <v>0</v>
      </c>
      <c r="AX62" s="494">
        <v>356.5</v>
      </c>
      <c r="AY62" s="494">
        <v>3342.3</v>
      </c>
      <c r="AZ62" s="496">
        <v>3307.2</v>
      </c>
      <c r="BA62" s="496">
        <v>998</v>
      </c>
      <c r="BB62" s="496">
        <v>0</v>
      </c>
      <c r="BC62" s="496">
        <v>0</v>
      </c>
      <c r="BD62" s="496">
        <v>0</v>
      </c>
      <c r="BE62" s="496">
        <v>0</v>
      </c>
      <c r="BF62" s="496">
        <v>0</v>
      </c>
      <c r="BG62" s="496">
        <v>0</v>
      </c>
      <c r="BH62" s="496">
        <v>0</v>
      </c>
      <c r="BI62" s="496">
        <v>0</v>
      </c>
      <c r="BJ62" s="496">
        <v>1458.7</v>
      </c>
      <c r="BK62" s="496">
        <v>3033</v>
      </c>
      <c r="BL62" s="496">
        <v>2854.7579999999998</v>
      </c>
      <c r="BM62" s="496">
        <v>2613.5</v>
      </c>
      <c r="BN62" s="496">
        <v>0</v>
      </c>
      <c r="BO62" s="496">
        <v>0</v>
      </c>
      <c r="BP62" s="496">
        <v>0</v>
      </c>
      <c r="BQ62" s="496">
        <v>0</v>
      </c>
      <c r="BR62" s="496">
        <v>0</v>
      </c>
      <c r="BS62" s="496">
        <v>0</v>
      </c>
      <c r="BT62" s="496">
        <v>0</v>
      </c>
      <c r="BU62" s="495">
        <v>0</v>
      </c>
      <c r="BV62" s="495">
        <v>0</v>
      </c>
      <c r="BW62" s="495">
        <v>3916.6</v>
      </c>
      <c r="BX62" s="495">
        <v>5124</v>
      </c>
      <c r="BY62" s="495">
        <f>1656+1134</f>
        <v>2790</v>
      </c>
      <c r="BZ62" s="495">
        <v>0</v>
      </c>
      <c r="CA62" s="495">
        <v>0</v>
      </c>
      <c r="CB62" s="495">
        <v>0</v>
      </c>
      <c r="CC62" s="495">
        <v>0</v>
      </c>
      <c r="CD62" s="495">
        <v>0</v>
      </c>
      <c r="CE62" s="495">
        <v>0</v>
      </c>
      <c r="CF62" s="495">
        <v>0</v>
      </c>
      <c r="CG62" s="495">
        <v>0</v>
      </c>
      <c r="CH62" s="495">
        <v>3110</v>
      </c>
      <c r="CI62" s="495">
        <v>6209</v>
      </c>
      <c r="CJ62" s="495">
        <v>9229.7999999999993</v>
      </c>
      <c r="CK62" s="495">
        <v>4308</v>
      </c>
      <c r="CL62" s="495">
        <v>0</v>
      </c>
      <c r="CM62" s="495">
        <v>0</v>
      </c>
      <c r="CN62" s="495">
        <v>0</v>
      </c>
      <c r="CO62" s="495">
        <v>0</v>
      </c>
      <c r="CP62" s="495">
        <v>0</v>
      </c>
      <c r="CQ62" s="495">
        <v>0</v>
      </c>
      <c r="CR62" s="495">
        <v>0</v>
      </c>
      <c r="CS62" s="495">
        <v>0</v>
      </c>
      <c r="CT62" s="495">
        <v>6345</v>
      </c>
      <c r="CU62" s="495">
        <v>11955</v>
      </c>
      <c r="CV62" s="495">
        <v>7901</v>
      </c>
      <c r="CW62" s="495">
        <v>1408.1669999999999</v>
      </c>
      <c r="CX62" s="495">
        <v>0</v>
      </c>
      <c r="CY62" s="495">
        <v>0</v>
      </c>
      <c r="CZ62" s="495">
        <v>0</v>
      </c>
      <c r="DA62" s="495">
        <v>0</v>
      </c>
      <c r="DB62" s="495">
        <v>0</v>
      </c>
      <c r="DC62" s="495">
        <v>0</v>
      </c>
      <c r="DD62" s="495">
        <v>0</v>
      </c>
      <c r="DE62" s="495">
        <v>0</v>
      </c>
      <c r="DF62" s="495">
        <v>0</v>
      </c>
      <c r="DG62" s="495">
        <v>10590</v>
      </c>
      <c r="DH62" s="495">
        <v>7705</v>
      </c>
      <c r="DI62" s="495">
        <v>2470</v>
      </c>
      <c r="DJ62" s="495">
        <v>0</v>
      </c>
      <c r="DK62" s="493">
        <v>53.269861149999997</v>
      </c>
      <c r="DL62" s="493">
        <v>56.769948849999992</v>
      </c>
      <c r="DM62" s="492">
        <f>((DL62/DK62)-1)*100</f>
        <v>6.5704839930861958</v>
      </c>
    </row>
    <row r="63" spans="2:174" ht="80.099999999999994" customHeight="1">
      <c r="B63" s="503" t="s">
        <v>131</v>
      </c>
      <c r="C63" s="502">
        <v>58.2</v>
      </c>
      <c r="D63" s="501">
        <v>83.2</v>
      </c>
      <c r="E63" s="499">
        <v>55.5</v>
      </c>
      <c r="F63" s="498">
        <v>80.2</v>
      </c>
      <c r="G63" s="499">
        <v>117.9</v>
      </c>
      <c r="H63" s="499">
        <v>107.2</v>
      </c>
      <c r="I63" s="499">
        <v>73.099999999999994</v>
      </c>
      <c r="J63" s="499">
        <v>64.099999999999994</v>
      </c>
      <c r="K63" s="499">
        <v>43.7</v>
      </c>
      <c r="L63" s="501">
        <v>51.2</v>
      </c>
      <c r="M63" s="499">
        <v>59</v>
      </c>
      <c r="N63" s="501">
        <v>15</v>
      </c>
      <c r="O63" s="500">
        <v>1.6</v>
      </c>
      <c r="P63" s="499">
        <v>20</v>
      </c>
      <c r="Q63" s="499">
        <v>48</v>
      </c>
      <c r="R63" s="499">
        <v>39.5</v>
      </c>
      <c r="S63" s="499">
        <v>34</v>
      </c>
      <c r="T63" s="499">
        <v>20.6</v>
      </c>
      <c r="U63" s="499">
        <v>6</v>
      </c>
      <c r="V63" s="499">
        <v>15.3</v>
      </c>
      <c r="W63" s="499">
        <v>0.2</v>
      </c>
      <c r="X63" s="499">
        <v>20.3</v>
      </c>
      <c r="Y63" s="499">
        <v>5.7</v>
      </c>
      <c r="Z63" s="498">
        <v>19.053000000000001</v>
      </c>
      <c r="AA63" s="497">
        <v>16.100000000000001</v>
      </c>
      <c r="AB63" s="497">
        <v>14.7</v>
      </c>
      <c r="AC63" s="497">
        <v>9.3000000000000007</v>
      </c>
      <c r="AD63" s="497">
        <v>18.8</v>
      </c>
      <c r="AE63" s="497">
        <v>12.1</v>
      </c>
      <c r="AF63" s="497">
        <v>19.5</v>
      </c>
      <c r="AG63" s="497">
        <v>17.399999999999999</v>
      </c>
      <c r="AH63" s="497">
        <v>9.5</v>
      </c>
      <c r="AI63" s="497">
        <v>11.65</v>
      </c>
      <c r="AJ63" s="497">
        <v>12.747</v>
      </c>
      <c r="AK63" s="497">
        <v>0.374</v>
      </c>
      <c r="AL63" s="497">
        <v>7.3369999999999997</v>
      </c>
      <c r="AM63" s="497">
        <v>0</v>
      </c>
      <c r="AN63" s="497">
        <v>0</v>
      </c>
      <c r="AO63" s="497">
        <v>6</v>
      </c>
      <c r="AP63" s="497">
        <v>0</v>
      </c>
      <c r="AQ63" s="497">
        <v>16.5</v>
      </c>
      <c r="AR63" s="497">
        <v>10.6</v>
      </c>
      <c r="AS63" s="494">
        <v>1.4</v>
      </c>
      <c r="AT63" s="494">
        <v>0.214</v>
      </c>
      <c r="AU63" s="494">
        <v>0</v>
      </c>
      <c r="AV63" s="494">
        <v>0</v>
      </c>
      <c r="AW63" s="494">
        <f>AVERAGE(AT63:AV63)</f>
        <v>7.1333333333333332E-2</v>
      </c>
      <c r="AX63" s="494">
        <v>0.2</v>
      </c>
      <c r="AY63" s="494">
        <v>2.6</v>
      </c>
      <c r="AZ63" s="496">
        <v>0.01</v>
      </c>
      <c r="BA63" s="496">
        <v>0</v>
      </c>
      <c r="BB63" s="496">
        <v>0</v>
      </c>
      <c r="BC63" s="496">
        <v>0</v>
      </c>
      <c r="BD63" s="496">
        <v>0</v>
      </c>
      <c r="BE63" s="496">
        <v>0</v>
      </c>
      <c r="BF63" s="496">
        <v>0</v>
      </c>
      <c r="BG63" s="496">
        <v>0</v>
      </c>
      <c r="BH63" s="496">
        <v>0</v>
      </c>
      <c r="BI63" s="496">
        <v>0</v>
      </c>
      <c r="BJ63" s="496">
        <f>(N63+Z63+AL63+AX63)/4</f>
        <v>10.397500000000001</v>
      </c>
      <c r="BK63" s="496">
        <v>0</v>
      </c>
      <c r="BL63" s="496">
        <v>0.6</v>
      </c>
      <c r="BM63" s="496">
        <v>0.9</v>
      </c>
      <c r="BN63" s="496">
        <v>0</v>
      </c>
      <c r="BO63" s="496">
        <v>0</v>
      </c>
      <c r="BP63" s="496">
        <v>0</v>
      </c>
      <c r="BQ63" s="496">
        <v>0</v>
      </c>
      <c r="BR63" s="496">
        <v>0</v>
      </c>
      <c r="BS63" s="496">
        <v>0</v>
      </c>
      <c r="BT63" s="496">
        <v>0</v>
      </c>
      <c r="BU63" s="495">
        <v>0</v>
      </c>
      <c r="BV63" s="495">
        <v>0</v>
      </c>
      <c r="BW63" s="495">
        <v>0</v>
      </c>
      <c r="BX63" s="495">
        <v>0</v>
      </c>
      <c r="BY63" s="495">
        <v>0</v>
      </c>
      <c r="BZ63" s="495">
        <v>0</v>
      </c>
      <c r="CA63" s="494">
        <v>0</v>
      </c>
      <c r="CB63" s="494">
        <v>0</v>
      </c>
      <c r="CC63" s="494">
        <v>0</v>
      </c>
      <c r="CD63" s="494">
        <v>0</v>
      </c>
      <c r="CE63" s="494">
        <v>0</v>
      </c>
      <c r="CF63" s="494">
        <v>0</v>
      </c>
      <c r="CG63" s="494">
        <v>0</v>
      </c>
      <c r="CH63" s="494">
        <v>0</v>
      </c>
      <c r="CI63" s="494">
        <v>0</v>
      </c>
      <c r="CJ63" s="494">
        <v>0</v>
      </c>
      <c r="CK63" s="494">
        <v>0</v>
      </c>
      <c r="CL63" s="494">
        <v>0</v>
      </c>
      <c r="CM63" s="494">
        <v>0</v>
      </c>
      <c r="CN63" s="494">
        <v>0</v>
      </c>
      <c r="CO63" s="494">
        <v>0</v>
      </c>
      <c r="CP63" s="494">
        <v>0</v>
      </c>
      <c r="CQ63" s="494">
        <v>0</v>
      </c>
      <c r="CR63" s="494">
        <v>0</v>
      </c>
      <c r="CS63" s="494">
        <v>0</v>
      </c>
      <c r="CT63" s="494">
        <v>0</v>
      </c>
      <c r="CU63" s="494">
        <v>0</v>
      </c>
      <c r="CV63" s="494">
        <v>0</v>
      </c>
      <c r="CW63" s="494">
        <v>0</v>
      </c>
      <c r="CX63" s="494">
        <v>0</v>
      </c>
      <c r="CY63" s="494">
        <v>0</v>
      </c>
      <c r="CZ63" s="494">
        <v>0</v>
      </c>
      <c r="DA63" s="494">
        <v>0</v>
      </c>
      <c r="DB63" s="494">
        <v>0</v>
      </c>
      <c r="DC63" s="494">
        <v>0</v>
      </c>
      <c r="DD63" s="494">
        <v>0</v>
      </c>
      <c r="DE63" s="494">
        <v>0</v>
      </c>
      <c r="DF63" s="494">
        <v>0</v>
      </c>
      <c r="DG63" s="494">
        <v>0</v>
      </c>
      <c r="DH63" s="494">
        <v>0</v>
      </c>
      <c r="DI63" s="494">
        <v>0</v>
      </c>
      <c r="DJ63" s="494">
        <v>0</v>
      </c>
      <c r="DK63" s="493">
        <v>53.269861149999997</v>
      </c>
      <c r="DL63" s="493">
        <v>56.769948849999992</v>
      </c>
      <c r="DM63" s="492" t="s">
        <v>130</v>
      </c>
    </row>
    <row r="64" spans="2:174" ht="80.099999999999994" customHeight="1" thickBot="1">
      <c r="B64" s="491" t="s">
        <v>129</v>
      </c>
      <c r="C64" s="490">
        <v>395.9</v>
      </c>
      <c r="D64" s="486">
        <v>1560.4</v>
      </c>
      <c r="E64" s="487">
        <v>4007</v>
      </c>
      <c r="F64" s="489">
        <v>2400</v>
      </c>
      <c r="G64" s="487">
        <v>707.4</v>
      </c>
      <c r="H64" s="487">
        <v>852.8</v>
      </c>
      <c r="I64" s="487">
        <v>1259.3</v>
      </c>
      <c r="J64" s="487">
        <v>1786</v>
      </c>
      <c r="K64" s="487">
        <v>2871.2</v>
      </c>
      <c r="L64" s="486">
        <v>1869.6</v>
      </c>
      <c r="M64" s="487">
        <v>956</v>
      </c>
      <c r="N64" s="486">
        <v>253.6</v>
      </c>
      <c r="O64" s="488">
        <v>597.5</v>
      </c>
      <c r="P64" s="487">
        <v>778.2</v>
      </c>
      <c r="Q64" s="487">
        <v>2066.1999999999998</v>
      </c>
      <c r="R64" s="487">
        <v>239.7</v>
      </c>
      <c r="S64" s="487">
        <v>1579.4</v>
      </c>
      <c r="T64" s="487">
        <v>2740.5</v>
      </c>
      <c r="U64" s="487">
        <v>2811.4</v>
      </c>
      <c r="V64" s="487">
        <v>219.8</v>
      </c>
      <c r="W64" s="487">
        <v>3.5</v>
      </c>
      <c r="X64" s="487">
        <v>3491.2</v>
      </c>
      <c r="Y64" s="487">
        <v>661.2</v>
      </c>
      <c r="Z64" s="486">
        <v>220</v>
      </c>
      <c r="AA64" s="485">
        <v>1628.8</v>
      </c>
      <c r="AB64" s="485">
        <v>1494.2</v>
      </c>
      <c r="AC64" s="485">
        <v>1622.3</v>
      </c>
      <c r="AD64" s="485">
        <v>1718.3</v>
      </c>
      <c r="AE64" s="485">
        <v>1508.7</v>
      </c>
      <c r="AF64" s="485">
        <v>2010</v>
      </c>
      <c r="AG64" s="485">
        <v>1274</v>
      </c>
      <c r="AH64" s="485">
        <v>1691</v>
      </c>
      <c r="AI64" s="485">
        <v>722.80600000000004</v>
      </c>
      <c r="AJ64" s="485">
        <v>689.42499999999995</v>
      </c>
      <c r="AK64" s="485">
        <v>400</v>
      </c>
      <c r="AL64" s="485">
        <v>0</v>
      </c>
      <c r="AM64" s="485">
        <v>40</v>
      </c>
      <c r="AN64" s="485">
        <v>0</v>
      </c>
      <c r="AO64" s="485">
        <v>0</v>
      </c>
      <c r="AP64" s="485">
        <v>240.1</v>
      </c>
      <c r="AQ64" s="485">
        <v>1062.9000000000001</v>
      </c>
      <c r="AR64" s="485">
        <v>325.39999999999998</v>
      </c>
      <c r="AS64" s="484">
        <v>449.5</v>
      </c>
      <c r="AT64" s="484">
        <v>1235.2</v>
      </c>
      <c r="AU64" s="484">
        <v>1223.7</v>
      </c>
      <c r="AV64" s="484">
        <v>2707.6</v>
      </c>
      <c r="AW64" s="484">
        <v>529.1</v>
      </c>
      <c r="AX64" s="484">
        <v>1816.3</v>
      </c>
      <c r="AY64" s="484">
        <v>597.20000000000005</v>
      </c>
      <c r="AZ64" s="484">
        <v>690.5</v>
      </c>
      <c r="BA64" s="484">
        <v>1881.4</v>
      </c>
      <c r="BB64" s="484">
        <f>AVERAGE(AY64:BA64)</f>
        <v>1056.3666666666668</v>
      </c>
      <c r="BC64" s="484">
        <v>2673.8</v>
      </c>
      <c r="BD64" s="484">
        <v>2446.9</v>
      </c>
      <c r="BE64" s="484">
        <v>346.7</v>
      </c>
      <c r="BF64" s="484">
        <v>199.9</v>
      </c>
      <c r="BG64" s="484">
        <v>49.8</v>
      </c>
      <c r="BH64" s="484">
        <v>137.69999999999999</v>
      </c>
      <c r="BI64" s="484">
        <v>0</v>
      </c>
      <c r="BJ64" s="484">
        <v>846.3</v>
      </c>
      <c r="BK64" s="484">
        <v>1190.1890000000001</v>
      </c>
      <c r="BL64" s="484">
        <v>2451.46</v>
      </c>
      <c r="BM64" s="484">
        <v>2503.223</v>
      </c>
      <c r="BN64" s="484">
        <v>1144.963</v>
      </c>
      <c r="BO64" s="484">
        <v>2103.614</v>
      </c>
      <c r="BP64" s="484">
        <v>1893.0229999999999</v>
      </c>
      <c r="BQ64" s="484">
        <v>1177.52</v>
      </c>
      <c r="BR64" s="484">
        <v>335.83300000000003</v>
      </c>
      <c r="BS64" s="483">
        <v>216.04599999999999</v>
      </c>
      <c r="BT64" s="483">
        <v>241.16499999999999</v>
      </c>
      <c r="BU64" s="483">
        <v>242.22399999999999</v>
      </c>
      <c r="BV64" s="483">
        <v>143.45699999999999</v>
      </c>
      <c r="BW64" s="483">
        <v>847.86800000000005</v>
      </c>
      <c r="BX64" s="483">
        <v>2035.097</v>
      </c>
      <c r="BY64" s="483">
        <v>2763.19</v>
      </c>
      <c r="BZ64" s="483">
        <v>398.69</v>
      </c>
      <c r="CA64" s="483">
        <v>408.15499999999997</v>
      </c>
      <c r="CB64" s="483">
        <v>87.231999999999999</v>
      </c>
      <c r="CC64" s="483">
        <v>1548.557</v>
      </c>
      <c r="CD64" s="483">
        <v>734.23500000000001</v>
      </c>
      <c r="CE64" s="483">
        <v>707.23299999999995</v>
      </c>
      <c r="CF64" s="483">
        <v>221.52199999999999</v>
      </c>
      <c r="CG64" s="483">
        <v>39.979999999999997</v>
      </c>
      <c r="CH64" s="483">
        <v>558.66200000000003</v>
      </c>
      <c r="CI64" s="483">
        <v>545.64599999999996</v>
      </c>
      <c r="CJ64" s="483">
        <v>1542.204</v>
      </c>
      <c r="CK64" s="483">
        <v>2170.1619999999998</v>
      </c>
      <c r="CL64" s="483">
        <v>1043.9860000000001</v>
      </c>
      <c r="CM64" s="483">
        <v>2941.43</v>
      </c>
      <c r="CN64" s="483">
        <v>2366.6610000000001</v>
      </c>
      <c r="CO64" s="483">
        <v>1167.76</v>
      </c>
      <c r="CP64" s="483">
        <v>792.745</v>
      </c>
      <c r="CQ64" s="483">
        <v>188.845</v>
      </c>
      <c r="CR64" s="483">
        <v>110.44799999999999</v>
      </c>
      <c r="CS64" s="483">
        <v>57.927999999999997</v>
      </c>
      <c r="CT64" s="483">
        <v>42.456000000000003</v>
      </c>
      <c r="CU64" s="483">
        <v>720.81</v>
      </c>
      <c r="CV64" s="483">
        <v>2649.51</v>
      </c>
      <c r="CW64" s="483">
        <v>1883.8119999999999</v>
      </c>
      <c r="CX64" s="483">
        <v>3131.4830000000002</v>
      </c>
      <c r="CY64" s="483">
        <v>1061.7860000000001</v>
      </c>
      <c r="CZ64" s="483">
        <v>1148.367</v>
      </c>
      <c r="DA64" s="483">
        <v>795.60500000000002</v>
      </c>
      <c r="DB64" s="483">
        <v>1254.9549999999999</v>
      </c>
      <c r="DC64" s="483">
        <v>134.125</v>
      </c>
      <c r="DD64" s="483">
        <v>93.262</v>
      </c>
      <c r="DE64" s="483">
        <v>202.34399999999999</v>
      </c>
      <c r="DF64" s="483">
        <v>43.679000000000002</v>
      </c>
      <c r="DG64" s="483">
        <v>1231.0029999999999</v>
      </c>
      <c r="DH64" s="483">
        <v>1441.2650000000001</v>
      </c>
      <c r="DI64" s="483">
        <v>4045.723</v>
      </c>
      <c r="DJ64" s="483">
        <v>1306.579</v>
      </c>
      <c r="DK64" s="483">
        <v>53.269861149999997</v>
      </c>
      <c r="DL64" s="483">
        <v>56.769948849999992</v>
      </c>
      <c r="DM64" s="482">
        <f>((DL64/DK64)-1)*100</f>
        <v>6.5704839930861958</v>
      </c>
    </row>
    <row r="65" spans="1:118" ht="80.099999999999994" customHeight="1">
      <c r="B65" s="481" t="s">
        <v>128</v>
      </c>
      <c r="C65" s="473"/>
      <c r="D65" s="473"/>
      <c r="E65" s="473"/>
      <c r="F65" s="473"/>
      <c r="G65" s="473"/>
      <c r="H65" s="473"/>
      <c r="I65" s="473"/>
      <c r="J65" s="473"/>
      <c r="K65" s="473"/>
      <c r="L65" s="473"/>
      <c r="M65" s="473"/>
      <c r="N65" s="473"/>
      <c r="O65" s="473"/>
      <c r="P65" s="473"/>
      <c r="Q65" s="473"/>
      <c r="R65" s="473"/>
      <c r="S65" s="473"/>
      <c r="T65" s="473"/>
      <c r="U65" s="473"/>
      <c r="V65" s="473"/>
      <c r="W65" s="473"/>
      <c r="X65" s="473"/>
      <c r="Y65" s="473"/>
      <c r="Z65" s="473"/>
      <c r="AA65" s="473"/>
      <c r="AB65" s="473"/>
      <c r="AC65" s="473"/>
      <c r="AD65" s="473"/>
      <c r="AE65" s="473"/>
      <c r="AF65" s="473"/>
      <c r="AG65" s="473"/>
      <c r="AH65" s="473"/>
      <c r="AI65" s="473"/>
      <c r="AJ65" s="473"/>
      <c r="AK65" s="473"/>
      <c r="AL65" s="473"/>
      <c r="AM65" s="473"/>
      <c r="AN65" s="473"/>
      <c r="AO65" s="473"/>
      <c r="AP65" s="473"/>
      <c r="AQ65" s="473"/>
      <c r="AR65" s="473"/>
      <c r="AS65" s="473"/>
      <c r="AT65" s="473"/>
      <c r="AU65" s="473"/>
      <c r="AV65" s="473"/>
      <c r="AW65" s="473"/>
      <c r="AX65" s="473"/>
      <c r="AY65" s="473"/>
      <c r="AZ65" s="473"/>
      <c r="BA65" s="473"/>
      <c r="BB65" s="473"/>
      <c r="BC65" s="473"/>
      <c r="BD65" s="473"/>
      <c r="BE65" s="473"/>
      <c r="BF65" s="473"/>
      <c r="BG65" s="473"/>
      <c r="BH65" s="473"/>
      <c r="BI65" s="473"/>
      <c r="BJ65" s="473"/>
      <c r="BK65" s="473"/>
      <c r="BL65" s="473"/>
      <c r="BM65" s="473"/>
      <c r="BN65" s="473"/>
      <c r="BO65" s="473"/>
      <c r="BP65" s="473"/>
      <c r="BQ65" s="473"/>
      <c r="BR65" s="473"/>
      <c r="BS65" s="473"/>
      <c r="BT65" s="473"/>
      <c r="BU65" s="473"/>
      <c r="BV65" s="473"/>
      <c r="BW65" s="473"/>
      <c r="BX65" s="473"/>
      <c r="BY65" s="473"/>
      <c r="BZ65" s="473"/>
      <c r="CA65" s="473"/>
      <c r="CB65" s="473"/>
      <c r="CC65" s="473"/>
      <c r="CD65" s="473"/>
      <c r="CE65" s="473"/>
      <c r="CF65" s="480"/>
      <c r="CG65" s="480"/>
      <c r="CH65" s="480"/>
      <c r="CI65" s="480"/>
      <c r="CJ65" s="480"/>
      <c r="CK65" s="473"/>
      <c r="CL65" s="473"/>
      <c r="CM65" s="473"/>
      <c r="CN65" s="473"/>
      <c r="CO65" s="473"/>
      <c r="CP65" s="473"/>
      <c r="CQ65" s="473"/>
      <c r="CR65" s="473"/>
      <c r="CS65" s="473"/>
      <c r="CT65" s="473"/>
      <c r="CU65" s="480"/>
      <c r="CV65" s="480"/>
      <c r="CW65" s="480"/>
      <c r="CX65" s="480"/>
      <c r="CY65" s="480"/>
      <c r="CZ65" s="480"/>
      <c r="DA65" s="480"/>
      <c r="DB65" s="480"/>
      <c r="DC65" s="480"/>
      <c r="DD65" s="480"/>
      <c r="DE65" s="480"/>
      <c r="DF65" s="480"/>
      <c r="DG65" s="473"/>
      <c r="DH65" s="473"/>
      <c r="DI65" s="473"/>
      <c r="DJ65" s="473"/>
      <c r="DK65" s="480"/>
      <c r="DL65" s="473"/>
      <c r="DM65" s="473"/>
    </row>
    <row r="66" spans="1:118" ht="80.099999999999994" customHeight="1">
      <c r="B66" s="479" t="s">
        <v>127</v>
      </c>
      <c r="C66" s="473"/>
      <c r="D66" s="473"/>
      <c r="E66" s="473"/>
      <c r="F66" s="473"/>
      <c r="G66" s="473"/>
      <c r="H66" s="473"/>
      <c r="I66" s="473"/>
      <c r="J66" s="473"/>
      <c r="K66" s="473"/>
      <c r="L66" s="473"/>
      <c r="M66" s="473"/>
      <c r="N66" s="473"/>
      <c r="O66" s="473"/>
      <c r="P66" s="473"/>
      <c r="Q66" s="473"/>
      <c r="R66" s="473"/>
      <c r="S66" s="473"/>
      <c r="T66" s="473"/>
      <c r="U66" s="473"/>
      <c r="V66" s="473"/>
      <c r="W66" s="473"/>
      <c r="X66" s="473"/>
      <c r="Y66" s="473"/>
      <c r="Z66" s="473"/>
      <c r="AA66" s="473"/>
      <c r="AB66" s="473"/>
      <c r="AC66" s="473"/>
      <c r="AD66" s="473"/>
      <c r="AE66" s="473"/>
      <c r="AF66" s="473"/>
      <c r="AG66" s="473"/>
      <c r="AH66" s="473"/>
      <c r="AI66" s="473"/>
      <c r="AJ66" s="473"/>
      <c r="AK66" s="473"/>
      <c r="AL66" s="473"/>
      <c r="AM66" s="473"/>
      <c r="AN66" s="473"/>
      <c r="AO66" s="473"/>
      <c r="AP66" s="473"/>
      <c r="AQ66" s="473"/>
      <c r="AR66" s="473"/>
      <c r="AS66" s="473"/>
      <c r="AT66" s="473"/>
      <c r="AU66" s="473"/>
      <c r="AV66" s="473"/>
      <c r="AW66" s="473"/>
      <c r="AX66" s="473"/>
      <c r="AY66" s="478"/>
      <c r="AZ66" s="473"/>
      <c r="BA66" s="473"/>
      <c r="BB66" s="473"/>
      <c r="BC66" s="473"/>
      <c r="BD66" s="473"/>
      <c r="BE66" s="473"/>
      <c r="BF66" s="473"/>
      <c r="BG66" s="473"/>
      <c r="BH66" s="477"/>
      <c r="BI66" s="477"/>
      <c r="BJ66" s="477"/>
      <c r="BK66" s="477"/>
      <c r="BL66" s="477"/>
      <c r="BM66" s="477"/>
      <c r="BN66" s="477"/>
      <c r="BO66" s="477"/>
      <c r="BP66" s="477"/>
      <c r="BQ66" s="477"/>
      <c r="BR66" s="477"/>
      <c r="BS66" s="477"/>
      <c r="BT66" s="477"/>
      <c r="BU66" s="477"/>
      <c r="BV66" s="477"/>
      <c r="BW66" s="477"/>
      <c r="BX66" s="477"/>
      <c r="BY66" s="477"/>
      <c r="BZ66" s="477"/>
      <c r="CA66" s="477"/>
      <c r="CB66" s="477"/>
      <c r="CC66" s="477"/>
      <c r="CD66" s="477"/>
      <c r="CE66" s="477"/>
      <c r="CF66" s="480"/>
      <c r="CG66" s="480"/>
      <c r="CH66" s="480"/>
      <c r="CI66" s="480"/>
      <c r="CJ66" s="480"/>
      <c r="CK66" s="477"/>
      <c r="CL66" s="477"/>
      <c r="CM66" s="477"/>
      <c r="CN66" s="477"/>
      <c r="CO66" s="477"/>
      <c r="CP66" s="477"/>
      <c r="CQ66" s="477"/>
      <c r="CR66" s="477"/>
      <c r="CS66" s="477"/>
      <c r="CT66" s="477"/>
      <c r="CU66" s="477"/>
      <c r="CV66" s="477"/>
      <c r="CW66" s="477"/>
      <c r="CX66" s="477"/>
      <c r="CY66" s="477"/>
      <c r="CZ66" s="477"/>
      <c r="DA66" s="477"/>
      <c r="DB66" s="477"/>
      <c r="DC66" s="477"/>
      <c r="DD66" s="477"/>
      <c r="DE66" s="477"/>
      <c r="DF66" s="477"/>
      <c r="DG66" s="477"/>
      <c r="DH66" s="477"/>
      <c r="DI66" s="477"/>
      <c r="DJ66" s="477"/>
      <c r="DK66" s="477"/>
      <c r="DL66" s="476"/>
      <c r="DM66" s="473"/>
    </row>
    <row r="67" spans="1:118" ht="80.099999999999994" customHeight="1">
      <c r="B67" s="479"/>
      <c r="C67" s="473"/>
      <c r="D67" s="473"/>
      <c r="E67" s="473"/>
      <c r="F67" s="473"/>
      <c r="G67" s="473"/>
      <c r="H67" s="473"/>
      <c r="I67" s="473"/>
      <c r="J67" s="473"/>
      <c r="K67" s="473"/>
      <c r="L67" s="473"/>
      <c r="M67" s="473"/>
      <c r="N67" s="473"/>
      <c r="O67" s="473"/>
      <c r="P67" s="473"/>
      <c r="Q67" s="473"/>
      <c r="R67" s="473"/>
      <c r="S67" s="473"/>
      <c r="T67" s="473"/>
      <c r="U67" s="473"/>
      <c r="V67" s="473"/>
      <c r="W67" s="473"/>
      <c r="X67" s="473"/>
      <c r="Y67" s="473"/>
      <c r="Z67" s="473"/>
      <c r="AA67" s="473"/>
      <c r="AB67" s="473"/>
      <c r="AC67" s="473"/>
      <c r="AD67" s="473"/>
      <c r="AE67" s="473"/>
      <c r="AF67" s="473"/>
      <c r="AG67" s="473"/>
      <c r="AH67" s="473"/>
      <c r="AI67" s="473"/>
      <c r="AJ67" s="473"/>
      <c r="AK67" s="473"/>
      <c r="AL67" s="473"/>
      <c r="AM67" s="473"/>
      <c r="AN67" s="473"/>
      <c r="AO67" s="473"/>
      <c r="AP67" s="473"/>
      <c r="AQ67" s="473"/>
      <c r="AR67" s="473"/>
      <c r="AS67" s="473"/>
      <c r="AT67" s="473"/>
      <c r="AU67" s="473"/>
      <c r="AV67" s="473"/>
      <c r="AW67" s="473"/>
      <c r="AX67" s="473"/>
      <c r="AY67" s="478"/>
      <c r="AZ67" s="473"/>
      <c r="BA67" s="473"/>
      <c r="BB67" s="473"/>
      <c r="BC67" s="473"/>
      <c r="BD67" s="473"/>
      <c r="BE67" s="473"/>
      <c r="BF67" s="473"/>
      <c r="BG67" s="473"/>
      <c r="BH67" s="477"/>
      <c r="BI67" s="477"/>
      <c r="BJ67" s="477"/>
      <c r="BK67" s="477"/>
      <c r="BL67" s="477"/>
      <c r="BM67" s="477"/>
      <c r="BN67" s="477"/>
      <c r="BO67" s="477"/>
      <c r="BP67" s="477"/>
      <c r="BQ67" s="477"/>
      <c r="BR67" s="477"/>
      <c r="BS67" s="477"/>
      <c r="BT67" s="477"/>
      <c r="BU67" s="477"/>
      <c r="BV67" s="477"/>
      <c r="BW67" s="477"/>
      <c r="BX67" s="477"/>
      <c r="BY67" s="477"/>
      <c r="BZ67" s="477"/>
      <c r="CA67" s="477"/>
      <c r="CB67" s="477"/>
      <c r="CC67" s="477"/>
      <c r="CD67" s="477"/>
      <c r="CE67" s="477"/>
      <c r="CF67" s="477"/>
      <c r="CG67" s="477"/>
      <c r="CH67" s="477"/>
      <c r="CI67" s="477"/>
      <c r="CJ67" s="477"/>
      <c r="CK67" s="477"/>
      <c r="CL67" s="477"/>
      <c r="CM67" s="477"/>
      <c r="CN67" s="477"/>
      <c r="CO67" s="477"/>
      <c r="CP67" s="477"/>
      <c r="CQ67" s="477"/>
      <c r="CR67" s="477"/>
      <c r="CS67" s="477"/>
      <c r="CT67" s="477"/>
      <c r="CU67" s="477"/>
      <c r="CV67" s="477"/>
      <c r="CW67" s="477"/>
      <c r="CX67" s="477"/>
      <c r="CY67" s="477"/>
      <c r="CZ67" s="477"/>
      <c r="DA67" s="477"/>
      <c r="DB67" s="477"/>
      <c r="DC67" s="477"/>
      <c r="DD67" s="477"/>
      <c r="DE67" s="477"/>
      <c r="DF67" s="477"/>
      <c r="DG67" s="477"/>
      <c r="DH67" s="477"/>
      <c r="DI67" s="477"/>
      <c r="DJ67" s="477"/>
      <c r="DK67" s="477"/>
      <c r="DL67" s="476"/>
      <c r="DM67" s="473"/>
    </row>
    <row r="68" spans="1:118" ht="80.099999999999994" customHeight="1">
      <c r="B68" s="475" t="s">
        <v>126</v>
      </c>
      <c r="C68" s="474"/>
      <c r="D68" s="474"/>
      <c r="E68" s="474"/>
      <c r="F68" s="474"/>
      <c r="G68" s="474"/>
      <c r="H68" s="474"/>
      <c r="I68" s="474"/>
      <c r="J68" s="474"/>
      <c r="K68" s="474"/>
      <c r="L68" s="474"/>
      <c r="M68" s="474"/>
      <c r="N68" s="474"/>
      <c r="O68" s="474"/>
      <c r="P68" s="474"/>
      <c r="Q68" s="474"/>
      <c r="R68" s="474"/>
      <c r="S68" s="474"/>
      <c r="T68" s="474"/>
      <c r="U68" s="474"/>
      <c r="V68" s="474"/>
      <c r="W68" s="474"/>
      <c r="X68" s="474"/>
      <c r="Y68" s="474"/>
      <c r="Z68" s="474"/>
      <c r="AA68" s="474"/>
      <c r="AB68" s="474"/>
      <c r="AC68" s="474"/>
      <c r="AD68" s="474"/>
      <c r="AE68" s="474"/>
      <c r="AF68" s="474"/>
      <c r="AG68" s="474"/>
      <c r="AH68" s="474"/>
      <c r="AI68" s="474"/>
      <c r="AJ68" s="474"/>
      <c r="AK68" s="474"/>
      <c r="AL68" s="474"/>
      <c r="AM68" s="474"/>
      <c r="AN68" s="474"/>
      <c r="AO68" s="474"/>
      <c r="AP68" s="474"/>
      <c r="AQ68" s="474"/>
      <c r="AR68" s="474"/>
      <c r="AS68" s="474"/>
      <c r="AT68" s="474"/>
      <c r="AU68" s="474"/>
      <c r="AV68" s="474"/>
      <c r="AW68" s="474"/>
      <c r="AX68" s="474"/>
      <c r="AY68" s="474"/>
      <c r="AZ68" s="474"/>
      <c r="BA68" s="474"/>
      <c r="BB68" s="474"/>
      <c r="BC68" s="474"/>
      <c r="BD68" s="474"/>
      <c r="BE68" s="474"/>
      <c r="BF68" s="474"/>
      <c r="BG68" s="474"/>
      <c r="BH68" s="474"/>
      <c r="BI68" s="474"/>
      <c r="BJ68" s="474"/>
      <c r="BK68" s="474"/>
      <c r="BL68" s="474"/>
      <c r="BM68" s="474"/>
      <c r="BN68" s="474"/>
      <c r="BO68" s="474"/>
      <c r="BP68" s="474"/>
      <c r="BQ68" s="474"/>
      <c r="BR68" s="474"/>
      <c r="BS68" s="474"/>
      <c r="BT68" s="474"/>
      <c r="BU68" s="474"/>
      <c r="BV68" s="474"/>
      <c r="BW68" s="474"/>
      <c r="BX68" s="474"/>
      <c r="BY68" s="474"/>
      <c r="BZ68" s="474"/>
      <c r="CA68" s="474"/>
      <c r="CB68" s="474"/>
      <c r="CC68" s="474"/>
      <c r="CD68" s="474"/>
      <c r="CE68" s="474"/>
      <c r="CF68" s="474"/>
      <c r="CG68" s="474"/>
      <c r="CH68" s="474"/>
      <c r="CI68" s="474"/>
      <c r="CJ68" s="474"/>
      <c r="CK68" s="474"/>
      <c r="CL68" s="474"/>
      <c r="CM68" s="474"/>
      <c r="CN68" s="474"/>
      <c r="CO68" s="474"/>
      <c r="CP68" s="474"/>
      <c r="CQ68" s="474"/>
      <c r="CR68" s="474"/>
      <c r="CS68" s="474"/>
      <c r="CT68" s="474"/>
      <c r="CU68" s="474"/>
      <c r="CV68" s="474"/>
      <c r="CW68" s="474"/>
      <c r="CX68" s="474"/>
      <c r="CY68" s="474"/>
      <c r="CZ68" s="474"/>
      <c r="DA68" s="474"/>
      <c r="DB68" s="474"/>
      <c r="DC68" s="474"/>
      <c r="DD68" s="474"/>
      <c r="DE68" s="474"/>
      <c r="DF68" s="474"/>
      <c r="DG68" s="474"/>
      <c r="DH68" s="474"/>
      <c r="DI68" s="474"/>
      <c r="DJ68" s="474"/>
      <c r="DK68" s="474"/>
      <c r="DL68" s="473"/>
      <c r="DM68" s="473"/>
      <c r="DN68" s="472"/>
    </row>
    <row r="69" spans="1:118" ht="104.25" thickBot="1">
      <c r="A69" s="327">
        <v>272.11870921618777</v>
      </c>
      <c r="C69" s="343"/>
      <c r="D69" s="471"/>
      <c r="E69" s="471"/>
      <c r="F69" s="471"/>
      <c r="G69" s="471"/>
      <c r="H69" s="471"/>
      <c r="I69" s="471"/>
      <c r="J69" s="471"/>
      <c r="K69" s="471"/>
      <c r="L69" s="471"/>
      <c r="M69" s="471"/>
      <c r="N69" s="471"/>
      <c r="O69" s="471"/>
      <c r="P69" s="470"/>
      <c r="Q69" s="470"/>
      <c r="R69" s="470"/>
      <c r="S69" s="470"/>
      <c r="T69" s="470"/>
      <c r="U69" s="470"/>
      <c r="V69" s="470"/>
      <c r="W69" s="470"/>
      <c r="X69" s="470"/>
      <c r="Y69" s="469"/>
      <c r="Z69" s="469"/>
      <c r="AA69" s="469"/>
      <c r="AB69" s="469"/>
      <c r="AC69" s="469"/>
      <c r="AD69" s="469"/>
      <c r="AE69" s="469"/>
      <c r="AF69" s="469"/>
      <c r="AG69" s="469"/>
      <c r="AH69" s="469"/>
      <c r="AI69" s="468"/>
      <c r="AJ69" s="468"/>
      <c r="AK69" s="467"/>
      <c r="AL69" s="466"/>
      <c r="AM69" s="466"/>
      <c r="AN69" s="466"/>
      <c r="AO69" s="466"/>
      <c r="AP69" s="466"/>
      <c r="AQ69" s="465"/>
      <c r="AR69" s="465"/>
      <c r="AS69" s="465"/>
      <c r="AT69" s="465"/>
      <c r="AU69" s="465"/>
      <c r="AV69" s="465"/>
      <c r="AW69" s="465"/>
      <c r="AX69" s="465"/>
      <c r="AY69" s="465"/>
      <c r="AZ69" s="465"/>
      <c r="BA69" s="465"/>
      <c r="BB69" s="465"/>
      <c r="BC69" s="465"/>
      <c r="BD69" s="465"/>
      <c r="BE69" s="465"/>
      <c r="BF69" s="465"/>
      <c r="BG69" s="465"/>
      <c r="BH69" s="465"/>
      <c r="BI69" s="465"/>
      <c r="BJ69" s="465"/>
      <c r="BK69" s="465"/>
      <c r="BL69" s="465"/>
      <c r="BM69" s="465"/>
      <c r="BN69" s="465"/>
      <c r="BO69" s="465"/>
      <c r="BP69" s="465"/>
      <c r="BQ69" s="465"/>
      <c r="BR69" s="465"/>
      <c r="BS69" s="465"/>
      <c r="BT69" s="465"/>
      <c r="BU69" s="465"/>
      <c r="BV69" s="465"/>
      <c r="BW69" s="465"/>
      <c r="BX69" s="465"/>
      <c r="BY69" s="465"/>
      <c r="BZ69" s="465"/>
      <c r="CA69" s="465"/>
      <c r="CB69" s="465"/>
      <c r="CC69" s="465"/>
      <c r="CD69" s="465"/>
      <c r="CE69" s="465"/>
      <c r="CF69" s="465"/>
      <c r="CG69" s="465"/>
      <c r="CH69" s="465"/>
      <c r="CI69" s="465"/>
      <c r="CJ69" s="465"/>
      <c r="CK69" s="465"/>
      <c r="CL69" s="465"/>
      <c r="CM69" s="465"/>
      <c r="CN69" s="465"/>
      <c r="CO69" s="465"/>
      <c r="CP69" s="465"/>
      <c r="CQ69" s="465"/>
      <c r="CR69" s="465"/>
      <c r="CS69" s="465"/>
      <c r="CT69" s="465"/>
      <c r="CU69" s="465"/>
      <c r="CV69" s="465"/>
      <c r="CW69" s="465"/>
      <c r="CX69" s="465"/>
      <c r="CY69" s="465"/>
      <c r="CZ69" s="465"/>
      <c r="DA69" s="465"/>
      <c r="DB69" s="465"/>
      <c r="DC69" s="465"/>
      <c r="DD69" s="465"/>
      <c r="DE69" s="465"/>
      <c r="DF69" s="465"/>
      <c r="DG69" s="465"/>
      <c r="DH69" s="465"/>
      <c r="DI69" s="465"/>
      <c r="DJ69" s="465"/>
      <c r="DK69" s="465"/>
      <c r="DL69" s="465"/>
      <c r="DM69" s="465"/>
    </row>
    <row r="70" spans="1:118" ht="65.25" thickBot="1">
      <c r="A70" s="327">
        <v>133.51186027264981</v>
      </c>
      <c r="B70" s="464" t="s">
        <v>125</v>
      </c>
      <c r="C70" s="327"/>
      <c r="D70" s="327"/>
      <c r="E70" s="327"/>
      <c r="F70" s="327"/>
      <c r="G70" s="327"/>
      <c r="H70" s="327"/>
      <c r="I70" s="327"/>
      <c r="J70" s="327"/>
      <c r="K70" s="327"/>
      <c r="L70" s="327"/>
      <c r="M70" s="327"/>
      <c r="N70" s="327"/>
      <c r="O70" s="327"/>
      <c r="P70" s="327"/>
      <c r="Q70" s="327"/>
      <c r="R70" s="327"/>
      <c r="S70" s="327"/>
      <c r="T70" s="327"/>
      <c r="U70" s="327"/>
      <c r="V70" s="327"/>
      <c r="W70" s="327"/>
      <c r="X70" s="327"/>
      <c r="Y70" s="327"/>
      <c r="Z70" s="327"/>
      <c r="AA70" s="463">
        <v>2008</v>
      </c>
      <c r="AB70" s="462"/>
      <c r="AC70" s="462"/>
      <c r="AD70" s="462"/>
      <c r="AE70" s="462"/>
      <c r="AF70" s="462"/>
      <c r="AG70" s="462"/>
      <c r="AH70" s="462"/>
      <c r="AI70" s="462"/>
      <c r="AJ70" s="830">
        <v>2008</v>
      </c>
      <c r="AK70" s="831"/>
      <c r="AL70" s="460">
        <v>2008</v>
      </c>
      <c r="AM70" s="463">
        <v>2009</v>
      </c>
      <c r="AN70" s="462"/>
      <c r="AO70" s="462"/>
      <c r="AP70" s="462"/>
      <c r="AQ70" s="462"/>
      <c r="AR70" s="462"/>
      <c r="AS70" s="462"/>
      <c r="AT70" s="460">
        <v>2009</v>
      </c>
      <c r="AU70" s="461">
        <v>2009</v>
      </c>
      <c r="AV70" s="461">
        <v>2009</v>
      </c>
      <c r="AW70" s="461">
        <v>2009</v>
      </c>
      <c r="AX70" s="460">
        <v>2009</v>
      </c>
      <c r="AY70" s="459">
        <v>2010</v>
      </c>
      <c r="AZ70" s="458">
        <v>2010</v>
      </c>
      <c r="BA70" s="457"/>
      <c r="BB70" s="457"/>
      <c r="BC70" s="457"/>
      <c r="BD70" s="816">
        <v>2010</v>
      </c>
      <c r="BE70" s="457"/>
      <c r="BF70" s="816">
        <v>2010</v>
      </c>
      <c r="BG70" s="457"/>
      <c r="BH70" s="808">
        <v>2010</v>
      </c>
      <c r="BI70" s="802">
        <v>2010</v>
      </c>
      <c r="BJ70" s="804"/>
      <c r="BK70" s="456">
        <v>2011</v>
      </c>
      <c r="BL70" s="455"/>
      <c r="BM70" s="455">
        <v>2011</v>
      </c>
      <c r="BN70" s="455"/>
      <c r="BO70" s="455"/>
      <c r="BP70" s="808">
        <v>2011</v>
      </c>
      <c r="BQ70" s="808">
        <v>2011</v>
      </c>
      <c r="BR70" s="808">
        <v>2011</v>
      </c>
      <c r="BS70" s="808">
        <v>2011</v>
      </c>
      <c r="BT70" s="455"/>
      <c r="BU70" s="808">
        <v>2011</v>
      </c>
      <c r="BV70" s="808">
        <v>2011</v>
      </c>
      <c r="BW70" s="802">
        <v>2012</v>
      </c>
      <c r="BX70" s="803"/>
      <c r="BY70" s="803"/>
      <c r="BZ70" s="803"/>
      <c r="CA70" s="803"/>
      <c r="CB70" s="803"/>
      <c r="CC70" s="803"/>
      <c r="CD70" s="803"/>
      <c r="CE70" s="803"/>
      <c r="CF70" s="803"/>
      <c r="CG70" s="803"/>
      <c r="CH70" s="804"/>
      <c r="CI70" s="802">
        <v>2013</v>
      </c>
      <c r="CJ70" s="803"/>
      <c r="CK70" s="803"/>
      <c r="CL70" s="803"/>
      <c r="CM70" s="803"/>
      <c r="CN70" s="803"/>
      <c r="CO70" s="803"/>
      <c r="CP70" s="803"/>
      <c r="CQ70" s="803"/>
      <c r="CR70" s="803"/>
      <c r="CS70" s="803"/>
      <c r="CT70" s="804"/>
      <c r="CU70" s="802">
        <v>2014</v>
      </c>
      <c r="CV70" s="803"/>
      <c r="CW70" s="803"/>
      <c r="CX70" s="803"/>
      <c r="CY70" s="803"/>
      <c r="CZ70" s="803"/>
      <c r="DA70" s="803"/>
      <c r="DB70" s="803"/>
      <c r="DC70" s="803"/>
      <c r="DD70" s="803"/>
      <c r="DE70" s="803"/>
      <c r="DF70" s="804"/>
      <c r="DG70" s="802">
        <v>2015</v>
      </c>
      <c r="DH70" s="803"/>
      <c r="DI70" s="803"/>
      <c r="DJ70" s="804"/>
      <c r="DK70" s="826" t="s">
        <v>124</v>
      </c>
      <c r="DL70" s="873"/>
      <c r="DM70" s="812" t="s">
        <v>123</v>
      </c>
    </row>
    <row r="71" spans="1:118" ht="109.5" customHeight="1" thickBot="1">
      <c r="A71" s="327">
        <v>133.51186027264981</v>
      </c>
      <c r="B71" s="454"/>
      <c r="C71" s="327"/>
      <c r="D71" s="327"/>
      <c r="E71" s="327"/>
      <c r="F71" s="327"/>
      <c r="G71" s="327"/>
      <c r="H71" s="327"/>
      <c r="I71" s="327"/>
      <c r="J71" s="327"/>
      <c r="K71" s="327"/>
      <c r="L71" s="327"/>
      <c r="M71" s="327"/>
      <c r="N71" s="327"/>
      <c r="O71" s="327"/>
      <c r="P71" s="327"/>
      <c r="Q71" s="327"/>
      <c r="R71" s="327"/>
      <c r="S71" s="327"/>
      <c r="T71" s="327"/>
      <c r="U71" s="327"/>
      <c r="V71" s="327"/>
      <c r="W71" s="327"/>
      <c r="X71" s="327"/>
      <c r="Y71" s="327"/>
      <c r="Z71" s="327"/>
      <c r="AA71" s="859" t="s">
        <v>122</v>
      </c>
      <c r="AB71" s="861" t="s">
        <v>121</v>
      </c>
      <c r="AC71" s="861" t="s">
        <v>120</v>
      </c>
      <c r="AD71" s="861" t="s">
        <v>119</v>
      </c>
      <c r="AE71" s="828" t="s">
        <v>6</v>
      </c>
      <c r="AF71" s="846" t="s">
        <v>7</v>
      </c>
      <c r="AG71" s="828" t="s">
        <v>17</v>
      </c>
      <c r="AH71" s="832" t="s">
        <v>18</v>
      </c>
      <c r="AI71" s="846" t="s">
        <v>21</v>
      </c>
      <c r="AJ71" s="848" t="s">
        <v>22</v>
      </c>
      <c r="AK71" s="836" t="s">
        <v>23</v>
      </c>
      <c r="AL71" s="848" t="s">
        <v>24</v>
      </c>
      <c r="AM71" s="820" t="s">
        <v>19</v>
      </c>
      <c r="AN71" s="840" t="s">
        <v>121</v>
      </c>
      <c r="AO71" s="840" t="s">
        <v>120</v>
      </c>
      <c r="AP71" s="840" t="s">
        <v>119</v>
      </c>
      <c r="AQ71" s="840" t="s">
        <v>118</v>
      </c>
      <c r="AR71" s="849" t="s">
        <v>7</v>
      </c>
      <c r="AS71" s="842" t="s">
        <v>117</v>
      </c>
      <c r="AT71" s="838" t="s">
        <v>18</v>
      </c>
      <c r="AU71" s="834" t="s">
        <v>10</v>
      </c>
      <c r="AV71" s="844" t="s">
        <v>22</v>
      </c>
      <c r="AW71" s="850" t="s">
        <v>23</v>
      </c>
      <c r="AX71" s="852" t="s">
        <v>24</v>
      </c>
      <c r="AY71" s="453"/>
      <c r="AZ71" s="452"/>
      <c r="BA71" s="451"/>
      <c r="BB71" s="451"/>
      <c r="BC71" s="451"/>
      <c r="BD71" s="817"/>
      <c r="BE71" s="451"/>
      <c r="BF71" s="817"/>
      <c r="BG71" s="451"/>
      <c r="BH71" s="809"/>
      <c r="BI71" s="805"/>
      <c r="BJ71" s="807"/>
      <c r="BK71" s="450"/>
      <c r="BL71" s="449"/>
      <c r="BM71" s="449"/>
      <c r="BN71" s="449"/>
      <c r="BO71" s="449"/>
      <c r="BP71" s="809"/>
      <c r="BQ71" s="809"/>
      <c r="BR71" s="809"/>
      <c r="BS71" s="809"/>
      <c r="BT71" s="449"/>
      <c r="BU71" s="809"/>
      <c r="BV71" s="809"/>
      <c r="BW71" s="805"/>
      <c r="BX71" s="806"/>
      <c r="BY71" s="806"/>
      <c r="BZ71" s="806"/>
      <c r="CA71" s="806"/>
      <c r="CB71" s="806"/>
      <c r="CC71" s="806"/>
      <c r="CD71" s="806"/>
      <c r="CE71" s="806"/>
      <c r="CF71" s="806"/>
      <c r="CG71" s="806"/>
      <c r="CH71" s="807"/>
      <c r="CI71" s="805"/>
      <c r="CJ71" s="806"/>
      <c r="CK71" s="806"/>
      <c r="CL71" s="806"/>
      <c r="CM71" s="806"/>
      <c r="CN71" s="806"/>
      <c r="CO71" s="806"/>
      <c r="CP71" s="806"/>
      <c r="CQ71" s="806"/>
      <c r="CR71" s="806"/>
      <c r="CS71" s="806"/>
      <c r="CT71" s="807"/>
      <c r="CU71" s="805"/>
      <c r="CV71" s="806"/>
      <c r="CW71" s="806"/>
      <c r="CX71" s="806"/>
      <c r="CY71" s="806"/>
      <c r="CZ71" s="806"/>
      <c r="DA71" s="806"/>
      <c r="DB71" s="806"/>
      <c r="DC71" s="806"/>
      <c r="DD71" s="806"/>
      <c r="DE71" s="806"/>
      <c r="DF71" s="807"/>
      <c r="DG71" s="805"/>
      <c r="DH71" s="806"/>
      <c r="DI71" s="806"/>
      <c r="DJ71" s="807"/>
      <c r="DK71" s="827"/>
      <c r="DL71" s="874"/>
      <c r="DM71" s="813"/>
    </row>
    <row r="72" spans="1:118" ht="65.25" thickBot="1">
      <c r="A72" s="327">
        <v>98.867442181651356</v>
      </c>
      <c r="B72" s="448"/>
      <c r="C72" s="327"/>
      <c r="D72" s="327"/>
      <c r="E72" s="327"/>
      <c r="F72" s="327"/>
      <c r="G72" s="327"/>
      <c r="H72" s="327"/>
      <c r="I72" s="327"/>
      <c r="J72" s="327"/>
      <c r="K72" s="327"/>
      <c r="L72" s="327"/>
      <c r="M72" s="327"/>
      <c r="N72" s="327"/>
      <c r="O72" s="327"/>
      <c r="P72" s="327"/>
      <c r="Q72" s="327"/>
      <c r="R72" s="327"/>
      <c r="S72" s="327"/>
      <c r="T72" s="327"/>
      <c r="U72" s="327"/>
      <c r="V72" s="327"/>
      <c r="W72" s="327"/>
      <c r="X72" s="327"/>
      <c r="Y72" s="327"/>
      <c r="Z72" s="327"/>
      <c r="AA72" s="860"/>
      <c r="AB72" s="829"/>
      <c r="AC72" s="829"/>
      <c r="AD72" s="829"/>
      <c r="AE72" s="829"/>
      <c r="AF72" s="847"/>
      <c r="AG72" s="829"/>
      <c r="AH72" s="833"/>
      <c r="AI72" s="847"/>
      <c r="AJ72" s="835"/>
      <c r="AK72" s="837"/>
      <c r="AL72" s="835"/>
      <c r="AM72" s="821"/>
      <c r="AN72" s="841"/>
      <c r="AO72" s="841"/>
      <c r="AP72" s="841"/>
      <c r="AQ72" s="841"/>
      <c r="AR72" s="841"/>
      <c r="AS72" s="843"/>
      <c r="AT72" s="839"/>
      <c r="AU72" s="835"/>
      <c r="AV72" s="845"/>
      <c r="AW72" s="851"/>
      <c r="AX72" s="845"/>
      <c r="AY72" s="447" t="s">
        <v>25</v>
      </c>
      <c r="AZ72" s="446" t="s">
        <v>116</v>
      </c>
      <c r="BA72" s="445" t="s">
        <v>26</v>
      </c>
      <c r="BB72" s="444" t="s">
        <v>5</v>
      </c>
      <c r="BC72" s="444" t="s">
        <v>6</v>
      </c>
      <c r="BD72" s="444" t="s">
        <v>7</v>
      </c>
      <c r="BE72" s="444" t="s">
        <v>17</v>
      </c>
      <c r="BF72" s="444" t="s">
        <v>18</v>
      </c>
      <c r="BG72" s="444" t="s">
        <v>21</v>
      </c>
      <c r="BH72" s="444" t="s">
        <v>22</v>
      </c>
      <c r="BI72" s="444" t="s">
        <v>23</v>
      </c>
      <c r="BJ72" s="444" t="s">
        <v>24</v>
      </c>
      <c r="BK72" s="443" t="s">
        <v>115</v>
      </c>
      <c r="BL72" s="440" t="s">
        <v>20</v>
      </c>
      <c r="BM72" s="440">
        <v>40603</v>
      </c>
      <c r="BN72" s="440">
        <v>40634</v>
      </c>
      <c r="BO72" s="440" t="s">
        <v>6</v>
      </c>
      <c r="BP72" s="440" t="s">
        <v>7</v>
      </c>
      <c r="BQ72" s="440" t="s">
        <v>17</v>
      </c>
      <c r="BR72" s="440" t="s">
        <v>18</v>
      </c>
      <c r="BS72" s="440" t="s">
        <v>21</v>
      </c>
      <c r="BT72" s="440" t="s">
        <v>22</v>
      </c>
      <c r="BU72" s="440" t="s">
        <v>23</v>
      </c>
      <c r="BV72" s="440" t="s">
        <v>24</v>
      </c>
      <c r="BW72" s="441" t="s">
        <v>114</v>
      </c>
      <c r="BX72" s="442" t="s">
        <v>20</v>
      </c>
      <c r="BY72" s="442" t="s">
        <v>4</v>
      </c>
      <c r="BZ72" s="442" t="s">
        <v>5</v>
      </c>
      <c r="CA72" s="442" t="s">
        <v>6</v>
      </c>
      <c r="CB72" s="442" t="s">
        <v>7</v>
      </c>
      <c r="CC72" s="442" t="s">
        <v>17</v>
      </c>
      <c r="CD72" s="442" t="s">
        <v>18</v>
      </c>
      <c r="CE72" s="442" t="s">
        <v>21</v>
      </c>
      <c r="CF72" s="442" t="s">
        <v>22</v>
      </c>
      <c r="CG72" s="442" t="s">
        <v>23</v>
      </c>
      <c r="CH72" s="442" t="s">
        <v>24</v>
      </c>
      <c r="CI72" s="442" t="s">
        <v>34</v>
      </c>
      <c r="CJ72" s="442" t="s">
        <v>20</v>
      </c>
      <c r="CK72" s="442" t="s">
        <v>4</v>
      </c>
      <c r="CL72" s="442" t="s">
        <v>5</v>
      </c>
      <c r="CM72" s="442" t="s">
        <v>6</v>
      </c>
      <c r="CN72" s="442" t="s">
        <v>7</v>
      </c>
      <c r="CO72" s="442" t="s">
        <v>17</v>
      </c>
      <c r="CP72" s="442" t="s">
        <v>18</v>
      </c>
      <c r="CQ72" s="442" t="s">
        <v>21</v>
      </c>
      <c r="CR72" s="442" t="s">
        <v>22</v>
      </c>
      <c r="CS72" s="442" t="s">
        <v>23</v>
      </c>
      <c r="CT72" s="442" t="s">
        <v>24</v>
      </c>
      <c r="CU72" s="442" t="s">
        <v>34</v>
      </c>
      <c r="CV72" s="442" t="s">
        <v>20</v>
      </c>
      <c r="CW72" s="442" t="s">
        <v>4</v>
      </c>
      <c r="CX72" s="442" t="s">
        <v>5</v>
      </c>
      <c r="CY72" s="442" t="s">
        <v>6</v>
      </c>
      <c r="CZ72" s="442" t="s">
        <v>7</v>
      </c>
      <c r="DA72" s="442" t="s">
        <v>17</v>
      </c>
      <c r="DB72" s="442" t="s">
        <v>18</v>
      </c>
      <c r="DC72" s="442" t="s">
        <v>21</v>
      </c>
      <c r="DD72" s="442" t="s">
        <v>22</v>
      </c>
      <c r="DE72" s="442" t="s">
        <v>23</v>
      </c>
      <c r="DF72" s="442" t="s">
        <v>24</v>
      </c>
      <c r="DG72" s="442" t="s">
        <v>34</v>
      </c>
      <c r="DH72" s="442" t="s">
        <v>20</v>
      </c>
      <c r="DI72" s="442" t="s">
        <v>4</v>
      </c>
      <c r="DJ72" s="442" t="s">
        <v>5</v>
      </c>
      <c r="DK72" s="441" t="s">
        <v>113</v>
      </c>
      <c r="DL72" s="441" t="s">
        <v>112</v>
      </c>
      <c r="DM72" s="440" t="s">
        <v>111</v>
      </c>
    </row>
    <row r="73" spans="1:118" s="399" customFormat="1" ht="88.5" hidden="1" customHeight="1">
      <c r="A73" s="399">
        <v>147.28738623648593</v>
      </c>
      <c r="B73" s="439" t="s">
        <v>110</v>
      </c>
      <c r="AA73" s="438">
        <v>165.53155339016837</v>
      </c>
      <c r="AB73" s="437">
        <v>194.2425888669809</v>
      </c>
      <c r="AC73" s="437">
        <v>155.99701360488743</v>
      </c>
      <c r="AD73" s="437">
        <v>167.23060058346425</v>
      </c>
      <c r="AE73" s="437">
        <v>158.41333160000013</v>
      </c>
      <c r="AF73" s="435">
        <v>133.41979750908925</v>
      </c>
      <c r="AG73" s="431">
        <v>154.07039772874214</v>
      </c>
      <c r="AH73" s="436">
        <v>129.89412911893476</v>
      </c>
      <c r="AI73" s="435">
        <v>100.15103897559183</v>
      </c>
      <c r="AJ73" s="433">
        <v>113.72686549244756</v>
      </c>
      <c r="AK73" s="434">
        <v>169.54307316797136</v>
      </c>
      <c r="AL73" s="433">
        <v>155.55831581061489</v>
      </c>
      <c r="AM73" s="432">
        <v>321.100397390306</v>
      </c>
      <c r="AN73" s="431">
        <v>170.52682359284995</v>
      </c>
      <c r="AO73" s="431">
        <v>176.86504628352691</v>
      </c>
      <c r="AP73" s="431">
        <v>189.80472749770215</v>
      </c>
      <c r="AQ73" s="431">
        <v>146.30412894198267</v>
      </c>
      <c r="AR73" s="431">
        <v>168.73685786166487</v>
      </c>
      <c r="AS73" s="430">
        <v>137.94691033183764</v>
      </c>
      <c r="AT73" s="429">
        <v>135.52153890314355</v>
      </c>
      <c r="AU73" s="429">
        <v>122.18288607670713</v>
      </c>
      <c r="AV73" s="428">
        <v>147.4800703585509</v>
      </c>
      <c r="AW73" s="427">
        <v>131.2689046625573</v>
      </c>
      <c r="AX73" s="427">
        <v>160.57139715281855</v>
      </c>
      <c r="AY73" s="425">
        <v>161.99807344488516</v>
      </c>
      <c r="AZ73" s="426">
        <v>172.64581155043993</v>
      </c>
      <c r="BA73" s="426">
        <v>245.80071887441753</v>
      </c>
      <c r="BB73" s="426">
        <v>226.30548927947333</v>
      </c>
      <c r="BC73" s="426">
        <v>221.94464536012788</v>
      </c>
      <c r="BD73" s="426">
        <v>190.95721840191925</v>
      </c>
      <c r="BE73" s="426">
        <v>198.93255808615137</v>
      </c>
      <c r="BF73" s="426">
        <v>188.21994159375546</v>
      </c>
      <c r="BG73" s="426">
        <v>122.12904994398112</v>
      </c>
      <c r="BH73" s="426">
        <v>175.0794156217232</v>
      </c>
      <c r="BI73" s="426">
        <v>143.72752121027838</v>
      </c>
      <c r="BJ73" s="426">
        <v>184.33654606171118</v>
      </c>
      <c r="BK73" s="426">
        <v>161.19035786049264</v>
      </c>
      <c r="BL73" s="426">
        <v>196.13932771923064</v>
      </c>
      <c r="BM73" s="426">
        <v>282.17173459633329</v>
      </c>
      <c r="BN73" s="426">
        <v>227.2384855043552</v>
      </c>
      <c r="BO73" s="426">
        <v>253.35449507038712</v>
      </c>
      <c r="BP73" s="426">
        <v>265.65376367510567</v>
      </c>
      <c r="BQ73" s="425">
        <v>253.87138401215506</v>
      </c>
      <c r="BR73" s="425">
        <v>237.95212333308308</v>
      </c>
      <c r="BS73" s="425">
        <v>286.30326506619065</v>
      </c>
      <c r="BT73" s="425">
        <v>255.09696931240026</v>
      </c>
      <c r="BU73" s="425">
        <v>254.15831272573035</v>
      </c>
      <c r="BV73" s="425">
        <v>317.80415112844543</v>
      </c>
      <c r="BW73" s="425">
        <v>293.21422003441666</v>
      </c>
      <c r="BX73" s="425">
        <v>339.55773129651931</v>
      </c>
      <c r="BY73" s="425">
        <v>272.11870921618777</v>
      </c>
      <c r="BZ73" s="425">
        <v>283.12999390029404</v>
      </c>
      <c r="CA73" s="425">
        <v>261.52858826997021</v>
      </c>
      <c r="CB73" s="425">
        <v>284.20360076905342</v>
      </c>
      <c r="CC73" s="425">
        <v>352.74637567865881</v>
      </c>
      <c r="CD73" s="425">
        <v>319.94739868580672</v>
      </c>
      <c r="CE73" s="425">
        <v>261.76206689289205</v>
      </c>
      <c r="CF73" s="425">
        <v>192.64337999092638</v>
      </c>
      <c r="CG73" s="425">
        <v>210.15164688769084</v>
      </c>
      <c r="CH73" s="425">
        <v>278.30256137564533</v>
      </c>
      <c r="CI73" s="420">
        <v>306.32797666411983</v>
      </c>
      <c r="CJ73" s="420">
        <v>320.76294887312099</v>
      </c>
      <c r="CK73" s="420">
        <v>304.4294041210365</v>
      </c>
      <c r="CL73" s="420">
        <v>278.62320951531007</v>
      </c>
      <c r="CM73" s="420">
        <v>222.31656428828521</v>
      </c>
      <c r="CN73" s="420">
        <v>259.21902318949395</v>
      </c>
      <c r="CO73" s="420">
        <v>246.43419071791516</v>
      </c>
      <c r="CP73" s="420">
        <v>169.35049140805756</v>
      </c>
      <c r="CQ73" s="420">
        <v>150.76173590016936</v>
      </c>
      <c r="CR73" s="420">
        <v>166.97597847934446</v>
      </c>
      <c r="CS73" s="420">
        <v>204.25044562227106</v>
      </c>
      <c r="CT73" s="420">
        <v>243.58331483553931</v>
      </c>
      <c r="CU73" s="420">
        <v>244.0685514847824</v>
      </c>
      <c r="CV73" s="420">
        <v>277.98828066226099</v>
      </c>
      <c r="CW73" s="420">
        <v>274.26715596755707</v>
      </c>
      <c r="CX73" s="420">
        <v>301.25082112293302</v>
      </c>
      <c r="CY73" s="420">
        <v>350.90383071546557</v>
      </c>
      <c r="CZ73" s="420">
        <v>308.47741813463864</v>
      </c>
      <c r="DA73" s="420">
        <v>335.59398202289992</v>
      </c>
      <c r="DB73" s="420">
        <v>264.1385348638758</v>
      </c>
      <c r="DC73" s="420">
        <v>255.92369380620084</v>
      </c>
      <c r="DD73" s="420">
        <v>248.01256412877251</v>
      </c>
      <c r="DE73" s="420">
        <v>252.17392510054336</v>
      </c>
      <c r="DF73" s="420">
        <v>324.65507074934749</v>
      </c>
      <c r="DG73" s="420">
        <v>310.99093273502035</v>
      </c>
      <c r="DH73" s="420">
        <v>317.93190469361861</v>
      </c>
      <c r="DI73" s="420">
        <v>351.81613659090283</v>
      </c>
      <c r="DJ73" s="420">
        <v>357.78879603204877</v>
      </c>
      <c r="DK73" s="365">
        <f t="shared" ref="DK73:DK115" si="11">AVERAGE(CU73:CX73)</f>
        <v>274.3937023093834</v>
      </c>
      <c r="DL73" s="365">
        <f t="shared" ref="DL73:DL115" si="12">AVERAGE(DG73:DJ73)</f>
        <v>334.63194251289764</v>
      </c>
      <c r="DM73" s="382">
        <f t="shared" ref="DM73:DM115" si="13">((DL73/DK73)-1)*100</f>
        <v>21.953215287570504</v>
      </c>
      <c r="DN73" s="332"/>
    </row>
    <row r="74" spans="1:118" s="399" customFormat="1" ht="62.25" hidden="1" customHeight="1">
      <c r="A74" s="399">
        <v>61.832750227771953</v>
      </c>
      <c r="B74" s="417" t="s">
        <v>109</v>
      </c>
      <c r="AA74" s="415">
        <v>377.3678179764492</v>
      </c>
      <c r="AB74" s="414">
        <v>381.95693983108782</v>
      </c>
      <c r="AC74" s="414">
        <v>359.68644040334533</v>
      </c>
      <c r="AD74" s="414">
        <v>78.557402142143999</v>
      </c>
      <c r="AE74" s="414">
        <v>410.37815269014061</v>
      </c>
      <c r="AF74" s="412">
        <v>110.26937577536235</v>
      </c>
      <c r="AG74" s="408">
        <v>223.13333113865104</v>
      </c>
      <c r="AH74" s="413">
        <v>184.64315619870928</v>
      </c>
      <c r="AI74" s="412">
        <v>142.19634898799441</v>
      </c>
      <c r="AJ74" s="410">
        <v>204.03251319333418</v>
      </c>
      <c r="AK74" s="411">
        <v>191.91990062895502</v>
      </c>
      <c r="AL74" s="410">
        <v>271.24831370211058</v>
      </c>
      <c r="AM74" s="409">
        <v>379.92203332459752</v>
      </c>
      <c r="AN74" s="408">
        <v>399.98032211632147</v>
      </c>
      <c r="AO74" s="408">
        <v>78.557402142143999</v>
      </c>
      <c r="AP74" s="408">
        <v>78.557402142143999</v>
      </c>
      <c r="AQ74" s="408">
        <v>119.34828819136045</v>
      </c>
      <c r="AR74" s="408">
        <v>129.31620861434519</v>
      </c>
      <c r="AS74" s="406">
        <v>129.31620861434519</v>
      </c>
      <c r="AT74" s="424">
        <v>162.35631104933753</v>
      </c>
      <c r="AU74" s="424">
        <v>121.86020081511447</v>
      </c>
      <c r="AV74" s="423">
        <v>107.95118695920627</v>
      </c>
      <c r="AW74" s="422">
        <v>167.30689700718213</v>
      </c>
      <c r="AX74" s="422">
        <v>271.24831370211058</v>
      </c>
      <c r="AY74" s="421">
        <v>131.91998037238403</v>
      </c>
      <c r="AZ74" s="420">
        <v>162.19075356756559</v>
      </c>
      <c r="BA74" s="420">
        <v>159.89276118665771</v>
      </c>
      <c r="BB74" s="420">
        <v>127.75996486443125</v>
      </c>
      <c r="BC74" s="420">
        <v>114.23610684959135</v>
      </c>
      <c r="BD74" s="420">
        <v>114.23610684959135</v>
      </c>
      <c r="BE74" s="420">
        <v>123.24407995169923</v>
      </c>
      <c r="BF74" s="420">
        <v>158.98054041348533</v>
      </c>
      <c r="BG74" s="420">
        <v>95.391504330742478</v>
      </c>
      <c r="BH74" s="420">
        <v>165.46552913887638</v>
      </c>
      <c r="BI74" s="420">
        <v>149.20189358516851</v>
      </c>
      <c r="BJ74" s="420">
        <v>189.47962914562621</v>
      </c>
      <c r="BK74" s="420">
        <v>149.88533320224136</v>
      </c>
      <c r="BL74" s="420">
        <v>91.409888441321314</v>
      </c>
      <c r="BM74" s="420">
        <v>221.73382200878359</v>
      </c>
      <c r="BN74" s="420">
        <v>221.73382200878359</v>
      </c>
      <c r="BO74" s="420">
        <v>221.73382200878359</v>
      </c>
      <c r="BP74" s="420">
        <v>221.73382200878359</v>
      </c>
      <c r="BQ74" s="420">
        <v>151.22975867392304</v>
      </c>
      <c r="BR74" s="420">
        <v>148.65009623910598</v>
      </c>
      <c r="BS74" s="420">
        <v>146.53216489580581</v>
      </c>
      <c r="BT74" s="420">
        <v>155.47488640811576</v>
      </c>
      <c r="BU74" s="420">
        <v>66.902571459734673</v>
      </c>
      <c r="BV74" s="420">
        <v>127.96563917274027</v>
      </c>
      <c r="BW74" s="420">
        <v>113.49246314572635</v>
      </c>
      <c r="BX74" s="420">
        <v>154.17924994498321</v>
      </c>
      <c r="BY74" s="420">
        <v>141.95512412488148</v>
      </c>
      <c r="BZ74" s="420">
        <v>160.44072514290693</v>
      </c>
      <c r="CA74" s="420">
        <v>170.93627672701507</v>
      </c>
      <c r="CB74" s="420">
        <v>169.49903865071448</v>
      </c>
      <c r="CC74" s="420">
        <v>147.6219239565844</v>
      </c>
      <c r="CD74" s="420">
        <v>136.59381716356998</v>
      </c>
      <c r="CE74" s="420">
        <v>162.44123371333086</v>
      </c>
      <c r="CF74" s="420">
        <v>143.07556883569379</v>
      </c>
      <c r="CG74" s="420">
        <v>178.73934207982327</v>
      </c>
      <c r="CH74" s="420">
        <v>91.661395887723842</v>
      </c>
      <c r="CI74" s="420">
        <v>125.61621770974884</v>
      </c>
      <c r="CJ74" s="420">
        <v>171.42465790136362</v>
      </c>
      <c r="CK74" s="420">
        <v>134.61742246429256</v>
      </c>
      <c r="CL74" s="420">
        <v>101.51270120821545</v>
      </c>
      <c r="CM74" s="420">
        <v>161.70644322622269</v>
      </c>
      <c r="CN74" s="420">
        <v>173.67291524621103</v>
      </c>
      <c r="CO74" s="420">
        <v>131.53195726708216</v>
      </c>
      <c r="CP74" s="420">
        <v>129.25058939278816</v>
      </c>
      <c r="CQ74" s="420">
        <v>117.47835034014138</v>
      </c>
      <c r="CR74" s="420">
        <v>115.39065463450652</v>
      </c>
      <c r="CS74" s="420">
        <v>140.11023234553164</v>
      </c>
      <c r="CT74" s="420">
        <v>171.91569426589137</v>
      </c>
      <c r="CU74" s="420">
        <v>99.314119052727406</v>
      </c>
      <c r="CV74" s="420">
        <v>105.05867923889198</v>
      </c>
      <c r="CW74" s="420">
        <v>138.87362773662122</v>
      </c>
      <c r="CX74" s="420">
        <v>149.18237790684151</v>
      </c>
      <c r="CY74" s="420">
        <v>155.2060029821437</v>
      </c>
      <c r="CZ74" s="420">
        <v>127.56090337741679</v>
      </c>
      <c r="DA74" s="420">
        <v>145.53518206385954</v>
      </c>
      <c r="DB74" s="420">
        <v>145.67101875795043</v>
      </c>
      <c r="DC74" s="420">
        <v>126.43279808586021</v>
      </c>
      <c r="DD74" s="420">
        <v>130.16068550279044</v>
      </c>
      <c r="DE74" s="420">
        <v>102.80786966164165</v>
      </c>
      <c r="DF74" s="420">
        <v>157.77539442831156</v>
      </c>
      <c r="DG74" s="420">
        <v>189.88546080503534</v>
      </c>
      <c r="DH74" s="420">
        <v>102.11502319091716</v>
      </c>
      <c r="DI74" s="420">
        <v>151.71627944495233</v>
      </c>
      <c r="DJ74" s="420">
        <v>107.71836503128223</v>
      </c>
      <c r="DK74" s="365">
        <f t="shared" si="11"/>
        <v>123.10720098377054</v>
      </c>
      <c r="DL74" s="365">
        <f t="shared" si="12"/>
        <v>137.85878211804678</v>
      </c>
      <c r="DM74" s="382">
        <f t="shared" si="13"/>
        <v>11.982711828710135</v>
      </c>
      <c r="DN74" s="332"/>
    </row>
    <row r="75" spans="1:118" ht="88.5">
      <c r="A75" s="327">
        <v>111.28278426456784</v>
      </c>
      <c r="B75" s="397" t="s">
        <v>108</v>
      </c>
      <c r="C75" s="327"/>
      <c r="D75" s="327"/>
      <c r="E75" s="327"/>
      <c r="F75" s="327"/>
      <c r="G75" s="327"/>
      <c r="H75" s="327"/>
      <c r="I75" s="327"/>
      <c r="J75" s="327"/>
      <c r="K75" s="327"/>
      <c r="L75" s="327"/>
      <c r="M75" s="327"/>
      <c r="N75" s="327"/>
      <c r="O75" s="327"/>
      <c r="P75" s="327"/>
      <c r="Q75" s="327"/>
      <c r="R75" s="327"/>
      <c r="S75" s="327"/>
      <c r="T75" s="327"/>
      <c r="U75" s="327"/>
      <c r="V75" s="327"/>
      <c r="W75" s="327"/>
      <c r="X75" s="327"/>
      <c r="Y75" s="327"/>
      <c r="Z75" s="327"/>
      <c r="AA75" s="396">
        <v>306.45718511701961</v>
      </c>
      <c r="AB75" s="395">
        <v>319.12094029315057</v>
      </c>
      <c r="AC75" s="395">
        <v>291.50290162511988</v>
      </c>
      <c r="AD75" s="395">
        <v>108.24010369196648</v>
      </c>
      <c r="AE75" s="395">
        <v>326.03478043181042</v>
      </c>
      <c r="AF75" s="393">
        <v>118.0188093263521</v>
      </c>
      <c r="AG75" s="389">
        <v>200.01502169909512</v>
      </c>
      <c r="AH75" s="394">
        <v>166.31632171526036</v>
      </c>
      <c r="AI75" s="393">
        <v>128.12199043766211</v>
      </c>
      <c r="AJ75" s="391">
        <v>173.80336125017212</v>
      </c>
      <c r="AK75" s="392">
        <v>184.42942207589155</v>
      </c>
      <c r="AL75" s="391">
        <v>232.52193707337855</v>
      </c>
      <c r="AM75" s="390">
        <v>360.23192295528116</v>
      </c>
      <c r="AN75" s="389">
        <v>323.17244965932531</v>
      </c>
      <c r="AO75" s="389">
        <v>111.46516358988114</v>
      </c>
      <c r="AP75" s="389">
        <v>115.79662678712192</v>
      </c>
      <c r="AQ75" s="389">
        <v>128.37155779355874</v>
      </c>
      <c r="AR75" s="389">
        <v>142.51198126128259</v>
      </c>
      <c r="AS75" s="387">
        <v>132.20527259025894</v>
      </c>
      <c r="AT75" s="388">
        <v>153.37356827278063</v>
      </c>
      <c r="AU75" s="419">
        <v>121.96821733513116</v>
      </c>
      <c r="AV75" s="386">
        <v>121.18319019315896</v>
      </c>
      <c r="AW75" s="385">
        <v>155.24344390045601</v>
      </c>
      <c r="AX75" s="385">
        <v>234.20002921329487</v>
      </c>
      <c r="AY75" s="384">
        <v>141.9884009949879</v>
      </c>
      <c r="AZ75" s="383">
        <v>165.69050739675799</v>
      </c>
      <c r="BA75" s="383">
        <v>188.6498187150157</v>
      </c>
      <c r="BB75" s="383">
        <v>160.74735498567662</v>
      </c>
      <c r="BC75" s="383">
        <v>150.29074860350863</v>
      </c>
      <c r="BD75" s="383">
        <v>139.91793514504175</v>
      </c>
      <c r="BE75" s="365">
        <v>148.58024179897856</v>
      </c>
      <c r="BF75" s="365">
        <v>168.76821508841908</v>
      </c>
      <c r="BG75" s="365">
        <v>104.34170123987644</v>
      </c>
      <c r="BH75" s="365">
        <v>168.68370698991055</v>
      </c>
      <c r="BI75" s="365">
        <v>147.36938766192739</v>
      </c>
      <c r="BJ75" s="365">
        <v>187.75801987800952</v>
      </c>
      <c r="BK75" s="365">
        <v>153.66960712990755</v>
      </c>
      <c r="BL75" s="365">
        <v>126.46729861947789</v>
      </c>
      <c r="BM75" s="365">
        <v>241.96496911032472</v>
      </c>
      <c r="BN75" s="365">
        <v>223.57646766207398</v>
      </c>
      <c r="BO75" s="365">
        <v>232.31860994685715</v>
      </c>
      <c r="BP75" s="365">
        <v>236.43569972925121</v>
      </c>
      <c r="BQ75" s="365">
        <v>185.58828847838913</v>
      </c>
      <c r="BR75" s="365">
        <v>178.54329355936287</v>
      </c>
      <c r="BS75" s="365">
        <v>193.3195135487739</v>
      </c>
      <c r="BT75" s="365">
        <v>188.82264657238215</v>
      </c>
      <c r="BU75" s="365">
        <v>129.58505477139192</v>
      </c>
      <c r="BV75" s="365">
        <v>191.51268599289673</v>
      </c>
      <c r="BW75" s="365">
        <v>155.058595107663</v>
      </c>
      <c r="BX75" s="365">
        <v>197.05367178548246</v>
      </c>
      <c r="BY75" s="365">
        <v>172.05941894264748</v>
      </c>
      <c r="BZ75" s="365">
        <v>188.81635658435533</v>
      </c>
      <c r="CA75" s="365">
        <v>191.88850889701069</v>
      </c>
      <c r="CB75" s="365">
        <v>196.02796340744254</v>
      </c>
      <c r="CC75" s="365">
        <v>195.06320305658963</v>
      </c>
      <c r="CD75" s="365">
        <v>178.99991922480913</v>
      </c>
      <c r="CE75" s="365">
        <v>185.41220244845195</v>
      </c>
      <c r="CF75" s="365">
        <v>154.53963537505447</v>
      </c>
      <c r="CG75" s="365">
        <v>186.00439462257731</v>
      </c>
      <c r="CH75" s="365">
        <v>134.82785190565298</v>
      </c>
      <c r="CI75" s="365">
        <v>167.41131781231056</v>
      </c>
      <c r="CJ75" s="365">
        <v>205.96368766027416</v>
      </c>
      <c r="CK75" s="365">
        <v>173.89161697727957</v>
      </c>
      <c r="CL75" s="365">
        <v>142.47490237731409</v>
      </c>
      <c r="CM75" s="365">
        <v>175.72438036365551</v>
      </c>
      <c r="CN75" s="365">
        <v>193.45805908832722</v>
      </c>
      <c r="CO75" s="365">
        <v>158.10659954201046</v>
      </c>
      <c r="CP75" s="365">
        <v>138.52491347954711</v>
      </c>
      <c r="CQ75" s="365">
        <v>125.17614731407691</v>
      </c>
      <c r="CR75" s="365">
        <v>127.32133245200511</v>
      </c>
      <c r="CS75" s="365">
        <v>154.94461086086588</v>
      </c>
      <c r="CT75" s="365">
        <v>188.49101505936093</v>
      </c>
      <c r="CU75" s="365">
        <v>132.79299186539728</v>
      </c>
      <c r="CV75" s="365">
        <v>145.05391830914388</v>
      </c>
      <c r="CW75" s="365">
        <v>170.18750624897524</v>
      </c>
      <c r="CX75" s="365">
        <v>184.3528385533015</v>
      </c>
      <c r="CY75" s="365">
        <v>200.46708807862203</v>
      </c>
      <c r="CZ75" s="365">
        <v>169.40335949779524</v>
      </c>
      <c r="DA75" s="365">
        <v>189.49207018018049</v>
      </c>
      <c r="DB75" s="365">
        <v>173.07024127229269</v>
      </c>
      <c r="DC75" s="365">
        <v>156.38151299139412</v>
      </c>
      <c r="DD75" s="365">
        <v>157.41752309293076</v>
      </c>
      <c r="DE75" s="365">
        <v>137.35332079949455</v>
      </c>
      <c r="DF75" s="365">
        <v>196.3714039922597</v>
      </c>
      <c r="DG75" s="365">
        <v>217.8947909757396</v>
      </c>
      <c r="DH75" s="365">
        <v>152.02925244982026</v>
      </c>
      <c r="DI75" s="365">
        <v>197.9954679621477</v>
      </c>
      <c r="DJ75" s="365">
        <v>165.55477123330922</v>
      </c>
      <c r="DK75" s="365">
        <f t="shared" si="11"/>
        <v>158.09681374420447</v>
      </c>
      <c r="DL75" s="365">
        <f t="shared" si="12"/>
        <v>183.36857065525419</v>
      </c>
      <c r="DM75" s="382">
        <f t="shared" si="13"/>
        <v>15.984988130082488</v>
      </c>
      <c r="DN75" s="346"/>
    </row>
    <row r="76" spans="1:118" s="399" customFormat="1" ht="88.5" hidden="1" customHeight="1">
      <c r="A76" s="399">
        <v>202.38633569155917</v>
      </c>
      <c r="B76" s="417" t="s">
        <v>107</v>
      </c>
      <c r="AA76" s="415">
        <v>99.888809926923244</v>
      </c>
      <c r="AB76" s="414">
        <v>116.84002320824204</v>
      </c>
      <c r="AC76" s="414">
        <v>133.05337010899166</v>
      </c>
      <c r="AD76" s="414">
        <v>99.462902219283265</v>
      </c>
      <c r="AE76" s="414">
        <v>94.451210142937683</v>
      </c>
      <c r="AF76" s="412">
        <v>102.25403139145622</v>
      </c>
      <c r="AG76" s="408">
        <v>118.75429556238292</v>
      </c>
      <c r="AH76" s="413">
        <v>84.411234429188767</v>
      </c>
      <c r="AI76" s="412">
        <v>132.17767457732373</v>
      </c>
      <c r="AJ76" s="410">
        <v>88.009060357155093</v>
      </c>
      <c r="AK76" s="411">
        <v>102.47337733556698</v>
      </c>
      <c r="AL76" s="410">
        <v>138.2635397287184</v>
      </c>
      <c r="AM76" s="409">
        <v>88.595738131339047</v>
      </c>
      <c r="AN76" s="408">
        <v>89.998056120353326</v>
      </c>
      <c r="AO76" s="408">
        <v>115.60286006008859</v>
      </c>
      <c r="AP76" s="408">
        <v>109.88911866969002</v>
      </c>
      <c r="AQ76" s="408">
        <v>90.83297538413747</v>
      </c>
      <c r="AR76" s="408">
        <v>98.711644313840608</v>
      </c>
      <c r="AS76" s="406">
        <v>83.276877476402916</v>
      </c>
      <c r="AT76" s="418">
        <v>125.7917426361756</v>
      </c>
      <c r="AU76" s="406">
        <v>138.78124980768473</v>
      </c>
      <c r="AV76" s="405">
        <v>110.04505470514846</v>
      </c>
      <c r="AW76" s="404">
        <v>72.506752991756599</v>
      </c>
      <c r="AX76" s="404">
        <v>119.9393457730306</v>
      </c>
      <c r="AY76" s="403">
        <v>95.785932506462942</v>
      </c>
      <c r="AZ76" s="402">
        <v>100.06237900799866</v>
      </c>
      <c r="BA76" s="402">
        <v>105.35967858738239</v>
      </c>
      <c r="BB76" s="402">
        <v>105.22792203154854</v>
      </c>
      <c r="BC76" s="402">
        <v>121.34822884444668</v>
      </c>
      <c r="BD76" s="402">
        <v>121.34822884444668</v>
      </c>
      <c r="BE76" s="401">
        <v>83.400020593266277</v>
      </c>
      <c r="BF76" s="401">
        <v>172.22097608736513</v>
      </c>
      <c r="BG76" s="401">
        <v>89.960703669383875</v>
      </c>
      <c r="BH76" s="401">
        <v>86.286511154537621</v>
      </c>
      <c r="BI76" s="401">
        <v>90.919549706413619</v>
      </c>
      <c r="BJ76" s="401">
        <v>143.02397746959971</v>
      </c>
      <c r="BK76" s="401">
        <v>86.562929378797463</v>
      </c>
      <c r="BL76" s="401">
        <v>80.766470351822917</v>
      </c>
      <c r="BM76" s="401">
        <v>54.714121340009974</v>
      </c>
      <c r="BN76" s="401">
        <v>90.490604853486886</v>
      </c>
      <c r="BO76" s="401">
        <v>71.219522295876018</v>
      </c>
      <c r="BP76" s="401">
        <v>94.881566622792732</v>
      </c>
      <c r="BQ76" s="401">
        <v>142.91462921977163</v>
      </c>
      <c r="BR76" s="401">
        <v>134.52726670968295</v>
      </c>
      <c r="BS76" s="401">
        <v>166.55656520929685</v>
      </c>
      <c r="BT76" s="401">
        <v>175.35691336134769</v>
      </c>
      <c r="BU76" s="401">
        <v>91.993991629145299</v>
      </c>
      <c r="BV76" s="401">
        <v>142.88796583055395</v>
      </c>
      <c r="BW76" s="401">
        <v>96.705544158744985</v>
      </c>
      <c r="BX76" s="401">
        <v>96.273523874813179</v>
      </c>
      <c r="BY76" s="401">
        <v>98.867442181651356</v>
      </c>
      <c r="BZ76" s="401">
        <v>78.567182298607364</v>
      </c>
      <c r="CA76" s="401">
        <v>95.105807487821494</v>
      </c>
      <c r="CB76" s="401">
        <v>129.67171382327172</v>
      </c>
      <c r="CC76" s="401">
        <v>128.6796072450355</v>
      </c>
      <c r="CD76" s="401">
        <v>149.39643453320355</v>
      </c>
      <c r="CE76" s="401">
        <v>85.393403815019937</v>
      </c>
      <c r="CF76" s="401">
        <v>98.92337111745185</v>
      </c>
      <c r="CG76" s="401">
        <v>112.48852596182101</v>
      </c>
      <c r="CH76" s="401">
        <v>115.73735849496815</v>
      </c>
      <c r="CI76" s="401">
        <v>99.35515744880226</v>
      </c>
      <c r="CJ76" s="401">
        <v>98.26141740489544</v>
      </c>
      <c r="CK76" s="401">
        <v>118.81147676610703</v>
      </c>
      <c r="CL76" s="401">
        <v>155.974947875834</v>
      </c>
      <c r="CM76" s="401">
        <v>161.46866364466464</v>
      </c>
      <c r="CN76" s="401">
        <v>110.48048298311467</v>
      </c>
      <c r="CO76" s="401">
        <v>97.014064322085673</v>
      </c>
      <c r="CP76" s="401">
        <v>120.43079057773963</v>
      </c>
      <c r="CQ76" s="401">
        <v>113.0485370974459</v>
      </c>
      <c r="CR76" s="401">
        <v>133.42747328400822</v>
      </c>
      <c r="CS76" s="401">
        <v>109.53731007372984</v>
      </c>
      <c r="CT76" s="401">
        <v>222.05209325709251</v>
      </c>
      <c r="CU76" s="401">
        <v>113.22379541222644</v>
      </c>
      <c r="CV76" s="401">
        <v>114.19267866486634</v>
      </c>
      <c r="CW76" s="401">
        <v>106.65487045226463</v>
      </c>
      <c r="CX76" s="401">
        <v>128.09856778457345</v>
      </c>
      <c r="CY76" s="401">
        <v>118.28264065960735</v>
      </c>
      <c r="CZ76" s="401">
        <v>133.39595679148374</v>
      </c>
      <c r="DA76" s="401">
        <v>148.16677778753032</v>
      </c>
      <c r="DB76" s="401">
        <v>122.36491005047789</v>
      </c>
      <c r="DC76" s="401">
        <v>123.51478246721253</v>
      </c>
      <c r="DD76" s="401">
        <v>135.82665672366466</v>
      </c>
      <c r="DE76" s="401">
        <v>134.14239182662226</v>
      </c>
      <c r="DF76" s="401">
        <v>110.44601029628723</v>
      </c>
      <c r="DG76" s="401">
        <v>130.70444084227975</v>
      </c>
      <c r="DH76" s="401">
        <v>109.3570945354417</v>
      </c>
      <c r="DI76" s="401">
        <v>126.89632361322606</v>
      </c>
      <c r="DJ76" s="401">
        <v>153.92733738424781</v>
      </c>
      <c r="DK76" s="365">
        <f t="shared" si="11"/>
        <v>115.54247807848272</v>
      </c>
      <c r="DL76" s="365">
        <f t="shared" si="12"/>
        <v>130.22129909379882</v>
      </c>
      <c r="DM76" s="400">
        <f t="shared" si="13"/>
        <v>12.70426362618382</v>
      </c>
      <c r="DN76" s="346"/>
    </row>
    <row r="77" spans="1:118" s="399" customFormat="1" ht="88.5" hidden="1" customHeight="1">
      <c r="A77" s="399">
        <v>396.51778134566285</v>
      </c>
      <c r="B77" s="417" t="s">
        <v>106</v>
      </c>
      <c r="AA77" s="415">
        <v>79.698301752995079</v>
      </c>
      <c r="AB77" s="414">
        <v>91.785075254508016</v>
      </c>
      <c r="AC77" s="414">
        <v>84.199013689601216</v>
      </c>
      <c r="AD77" s="414">
        <v>101.98296955681849</v>
      </c>
      <c r="AE77" s="414">
        <v>117.97613960164952</v>
      </c>
      <c r="AF77" s="412">
        <v>128.90174730368952</v>
      </c>
      <c r="AG77" s="408">
        <v>124.38095806066035</v>
      </c>
      <c r="AH77" s="413">
        <v>100.92369415966752</v>
      </c>
      <c r="AI77" s="412">
        <v>120.84026106330585</v>
      </c>
      <c r="AJ77" s="410">
        <v>98.900263252517064</v>
      </c>
      <c r="AK77" s="411">
        <v>71.938975570650399</v>
      </c>
      <c r="AL77" s="410">
        <v>93.612958565439797</v>
      </c>
      <c r="AM77" s="409">
        <v>129.37796273417888</v>
      </c>
      <c r="AN77" s="408">
        <v>93.243952608709805</v>
      </c>
      <c r="AO77" s="408">
        <v>107.72895928881572</v>
      </c>
      <c r="AP77" s="408">
        <v>109.82140080715817</v>
      </c>
      <c r="AQ77" s="408">
        <v>138.74429463678132</v>
      </c>
      <c r="AR77" s="408">
        <v>128.81905782780186</v>
      </c>
      <c r="AS77" s="406">
        <v>117.02609876091098</v>
      </c>
      <c r="AT77" s="407">
        <v>114.86583507785772</v>
      </c>
      <c r="AU77" s="406">
        <v>101.78034710011576</v>
      </c>
      <c r="AV77" s="405">
        <v>108.05012639898922</v>
      </c>
      <c r="AW77" s="404">
        <v>102.64994674642358</v>
      </c>
      <c r="AX77" s="404">
        <v>88.266135115595873</v>
      </c>
      <c r="AY77" s="403">
        <v>85.567439523171402</v>
      </c>
      <c r="AZ77" s="402">
        <v>85.428215512194043</v>
      </c>
      <c r="BA77" s="402">
        <v>112.95713879912309</v>
      </c>
      <c r="BB77" s="402">
        <v>115.23952768855025</v>
      </c>
      <c r="BC77" s="402">
        <v>122.88750031441475</v>
      </c>
      <c r="BD77" s="402">
        <v>122.88750031441475</v>
      </c>
      <c r="BE77" s="401">
        <v>127.67100234695332</v>
      </c>
      <c r="BF77" s="401">
        <v>113.63468586617581</v>
      </c>
      <c r="BG77" s="401">
        <v>133.31996408715108</v>
      </c>
      <c r="BH77" s="401">
        <v>108.73740421351836</v>
      </c>
      <c r="BI77" s="401">
        <v>109.3486976823532</v>
      </c>
      <c r="BJ77" s="401">
        <v>146.01166758020287</v>
      </c>
      <c r="BK77" s="401">
        <v>139.48941562625603</v>
      </c>
      <c r="BL77" s="401">
        <v>131.05960851315513</v>
      </c>
      <c r="BM77" s="401">
        <v>143.201868168549</v>
      </c>
      <c r="BN77" s="401">
        <v>109.88627819337206</v>
      </c>
      <c r="BO77" s="401">
        <v>212.43497191195539</v>
      </c>
      <c r="BP77" s="401">
        <v>170.93354697526141</v>
      </c>
      <c r="BQ77" s="401">
        <v>195.21903992698782</v>
      </c>
      <c r="BR77" s="401">
        <v>172.72028546267532</v>
      </c>
      <c r="BS77" s="401">
        <v>137.11087196984667</v>
      </c>
      <c r="BT77" s="401">
        <v>123.12102065319735</v>
      </c>
      <c r="BU77" s="401">
        <v>104.58381419175254</v>
      </c>
      <c r="BV77" s="401">
        <v>106.65388413426513</v>
      </c>
      <c r="BW77" s="401">
        <v>108.72134921455489</v>
      </c>
      <c r="BX77" s="401">
        <v>141.71597515757418</v>
      </c>
      <c r="BY77" s="401">
        <v>147.28738623648593</v>
      </c>
      <c r="BZ77" s="401">
        <v>144.76573271536128</v>
      </c>
      <c r="CA77" s="401">
        <v>174.97942471992965</v>
      </c>
      <c r="CB77" s="401">
        <v>146</v>
      </c>
      <c r="CC77" s="401">
        <v>155.93683167975055</v>
      </c>
      <c r="CD77" s="401">
        <v>195.81868463033527</v>
      </c>
      <c r="CE77" s="401">
        <v>118.57817772108361</v>
      </c>
      <c r="CF77" s="401">
        <v>104.3407026430246</v>
      </c>
      <c r="CG77" s="401">
        <v>89.291942792950024</v>
      </c>
      <c r="CH77" s="401">
        <v>120.1390814953012</v>
      </c>
      <c r="CI77" s="401">
        <v>128.45131511347486</v>
      </c>
      <c r="CJ77" s="401">
        <v>135.02379040274951</v>
      </c>
      <c r="CK77" s="401">
        <v>129.96898301436195</v>
      </c>
      <c r="CL77" s="401">
        <v>145.3417994597346</v>
      </c>
      <c r="CM77" s="401">
        <v>194.95209073958156</v>
      </c>
      <c r="CN77" s="401">
        <v>167.04627388612488</v>
      </c>
      <c r="CO77" s="401">
        <v>155.32291494775595</v>
      </c>
      <c r="CP77" s="401">
        <v>157.09741405313272</v>
      </c>
      <c r="CQ77" s="401">
        <v>140.80606915475073</v>
      </c>
      <c r="CR77" s="401">
        <v>110.31718174706947</v>
      </c>
      <c r="CS77" s="401">
        <v>138.22446764434184</v>
      </c>
      <c r="CT77" s="401">
        <v>130.0816681661864</v>
      </c>
      <c r="CU77" s="401">
        <v>126.04527199196437</v>
      </c>
      <c r="CV77" s="401">
        <v>148.43040443830546</v>
      </c>
      <c r="CW77" s="401">
        <v>168.45051851214899</v>
      </c>
      <c r="CX77" s="401">
        <v>162.3375925094609</v>
      </c>
      <c r="CY77" s="401">
        <v>193.42480246400942</v>
      </c>
      <c r="CZ77" s="401">
        <v>198.02263677334744</v>
      </c>
      <c r="DA77" s="401">
        <v>149.8420905143779</v>
      </c>
      <c r="DB77" s="401">
        <v>144.12518339655031</v>
      </c>
      <c r="DC77" s="401">
        <v>116.71439996370266</v>
      </c>
      <c r="DD77" s="401">
        <v>120.038084813175</v>
      </c>
      <c r="DE77" s="401">
        <v>113.04142363030829</v>
      </c>
      <c r="DF77" s="401">
        <v>143.6050149777879</v>
      </c>
      <c r="DG77" s="401">
        <v>159.32292405986951</v>
      </c>
      <c r="DH77" s="401">
        <v>149.39096769500892</v>
      </c>
      <c r="DI77" s="401">
        <v>177.45905831801522</v>
      </c>
      <c r="DJ77" s="401">
        <v>187.77311771651546</v>
      </c>
      <c r="DK77" s="365">
        <f t="shared" si="11"/>
        <v>151.31594686296992</v>
      </c>
      <c r="DL77" s="365">
        <f t="shared" si="12"/>
        <v>168.48651694735227</v>
      </c>
      <c r="DM77" s="400">
        <f t="shared" si="13"/>
        <v>11.347495383240624</v>
      </c>
      <c r="DN77" s="346"/>
    </row>
    <row r="78" spans="1:118" s="399" customFormat="1" ht="88.5" hidden="1" customHeight="1">
      <c r="A78" s="399">
        <v>138.13341032337789</v>
      </c>
      <c r="B78" s="417" t="s">
        <v>105</v>
      </c>
      <c r="AA78" s="415">
        <v>51.496077077689669</v>
      </c>
      <c r="AB78" s="414">
        <v>60.496829846558427</v>
      </c>
      <c r="AC78" s="414">
        <v>131.34732104532696</v>
      </c>
      <c r="AD78" s="414">
        <v>76.393219840838043</v>
      </c>
      <c r="AE78" s="414">
        <v>78.865047818350405</v>
      </c>
      <c r="AF78" s="412">
        <v>79.880750640681896</v>
      </c>
      <c r="AG78" s="408">
        <v>98.463837674650705</v>
      </c>
      <c r="AH78" s="413">
        <v>63.880805733386815</v>
      </c>
      <c r="AI78" s="412">
        <v>89.814754600512529</v>
      </c>
      <c r="AJ78" s="410">
        <v>65.140625559616794</v>
      </c>
      <c r="AK78" s="411">
        <v>120.67640478308699</v>
      </c>
      <c r="AL78" s="410">
        <v>119.90929125125187</v>
      </c>
      <c r="AM78" s="409">
        <v>75.780016013140667</v>
      </c>
      <c r="AN78" s="408">
        <v>83.829792564882766</v>
      </c>
      <c r="AO78" s="408">
        <v>80.577015719541194</v>
      </c>
      <c r="AP78" s="408">
        <v>64.606060513136782</v>
      </c>
      <c r="AQ78" s="408">
        <v>143.41460538644728</v>
      </c>
      <c r="AR78" s="408">
        <v>66.40800015254797</v>
      </c>
      <c r="AS78" s="406">
        <v>123.30031718308051</v>
      </c>
      <c r="AT78" s="407">
        <v>59.103350467945276</v>
      </c>
      <c r="AU78" s="406">
        <v>55.264416298408939</v>
      </c>
      <c r="AV78" s="405">
        <v>121.76399439446688</v>
      </c>
      <c r="AW78" s="404">
        <v>67.626971153440095</v>
      </c>
      <c r="AX78" s="404">
        <v>132.84856038748302</v>
      </c>
      <c r="AY78" s="403">
        <v>50.417248876603423</v>
      </c>
      <c r="AZ78" s="402">
        <v>49.145601361719343</v>
      </c>
      <c r="BA78" s="402">
        <v>54.879996290187464</v>
      </c>
      <c r="BB78" s="402">
        <v>48.416483802450493</v>
      </c>
      <c r="BC78" s="402">
        <v>51.546661217081883</v>
      </c>
      <c r="BD78" s="402">
        <v>51.546661217081883</v>
      </c>
      <c r="BE78" s="401">
        <v>67.305863762956164</v>
      </c>
      <c r="BF78" s="401">
        <v>141.35496092592211</v>
      </c>
      <c r="BG78" s="401">
        <v>99.239705844719595</v>
      </c>
      <c r="BH78" s="401">
        <v>72.778367838679301</v>
      </c>
      <c r="BI78" s="401">
        <v>156.27032985360415</v>
      </c>
      <c r="BJ78" s="401">
        <v>68.35808663413853</v>
      </c>
      <c r="BK78" s="401">
        <v>56.798346824671128</v>
      </c>
      <c r="BL78" s="401">
        <v>38.72172574573964</v>
      </c>
      <c r="BM78" s="401">
        <v>114.32422296178672</v>
      </c>
      <c r="BN78" s="401">
        <v>119.29287160223939</v>
      </c>
      <c r="BO78" s="401">
        <v>89.980374162687482</v>
      </c>
      <c r="BP78" s="401">
        <v>145.65440805906559</v>
      </c>
      <c r="BQ78" s="401">
        <v>69.010365250392127</v>
      </c>
      <c r="BR78" s="401">
        <v>158.44988042846487</v>
      </c>
      <c r="BS78" s="401">
        <v>150.39060473962101</v>
      </c>
      <c r="BT78" s="401">
        <v>85.842723765325871</v>
      </c>
      <c r="BU78" s="401">
        <v>69.647225385942463</v>
      </c>
      <c r="BV78" s="401">
        <v>222.36342645638405</v>
      </c>
      <c r="BW78" s="401">
        <v>43.46261443001552</v>
      </c>
      <c r="BX78" s="401">
        <v>58.48424261858753</v>
      </c>
      <c r="BY78" s="401">
        <v>61.832750227771953</v>
      </c>
      <c r="BZ78" s="401">
        <v>49.24059263773362</v>
      </c>
      <c r="CA78" s="401">
        <v>48.082267671422521</v>
      </c>
      <c r="CB78" s="401">
        <v>155.52182255917177</v>
      </c>
      <c r="CC78" s="401">
        <v>54.849753013990451</v>
      </c>
      <c r="CD78" s="401">
        <v>72.587769258608333</v>
      </c>
      <c r="CE78" s="401">
        <v>43.208744118219201</v>
      </c>
      <c r="CF78" s="401">
        <v>31.764249391171393</v>
      </c>
      <c r="CG78" s="401">
        <v>63.729188806948386</v>
      </c>
      <c r="CH78" s="401">
        <v>49.646161946821628</v>
      </c>
      <c r="CI78" s="401">
        <v>33.388656639123496</v>
      </c>
      <c r="CJ78" s="401">
        <v>35.666962558800741</v>
      </c>
      <c r="CK78" s="401">
        <v>35.092756502428728</v>
      </c>
      <c r="CL78" s="401">
        <v>36.295112625325224</v>
      </c>
      <c r="CM78" s="401">
        <v>36.406825339568947</v>
      </c>
      <c r="CN78" s="401">
        <v>39.161337382431682</v>
      </c>
      <c r="CO78" s="401">
        <v>34.534525133345703</v>
      </c>
      <c r="CP78" s="401">
        <v>25.509841690669102</v>
      </c>
      <c r="CQ78" s="401">
        <v>7.3206630786349187</v>
      </c>
      <c r="CR78" s="401">
        <v>14.339858764472769</v>
      </c>
      <c r="CS78" s="401">
        <v>28.516353588176397</v>
      </c>
      <c r="CT78" s="401">
        <v>12.443205684440224</v>
      </c>
      <c r="CU78" s="401">
        <v>3.5019221745756455</v>
      </c>
      <c r="CV78" s="401">
        <v>11.819656556936021</v>
      </c>
      <c r="CW78" s="401">
        <v>15.619168163567945</v>
      </c>
      <c r="CX78" s="401">
        <v>6.3485381516180635</v>
      </c>
      <c r="CY78" s="401">
        <v>9.3470159447120498</v>
      </c>
      <c r="CZ78" s="401">
        <v>23.954814092531837</v>
      </c>
      <c r="DA78" s="401">
        <v>9.0919901056635926</v>
      </c>
      <c r="DB78" s="401">
        <v>15.561542004880458</v>
      </c>
      <c r="DC78" s="401">
        <v>33.048184740667573</v>
      </c>
      <c r="DD78" s="401">
        <v>5.7741238224871516</v>
      </c>
      <c r="DE78" s="401">
        <v>19.734022135351019</v>
      </c>
      <c r="DF78" s="401">
        <v>63.797212968510102</v>
      </c>
      <c r="DG78" s="401">
        <v>26.554609518676632</v>
      </c>
      <c r="DH78" s="401">
        <v>39.305639072182721</v>
      </c>
      <c r="DI78" s="401">
        <v>31.399538395991531</v>
      </c>
      <c r="DJ78" s="401">
        <v>62.430524125401568</v>
      </c>
      <c r="DK78" s="365">
        <f t="shared" si="11"/>
        <v>9.3223212616744195</v>
      </c>
      <c r="DL78" s="365">
        <f t="shared" si="12"/>
        <v>39.922577778063115</v>
      </c>
      <c r="DM78" s="400">
        <f t="shared" si="13"/>
        <v>328.24717854544804</v>
      </c>
      <c r="DN78" s="346"/>
    </row>
    <row r="79" spans="1:118" s="399" customFormat="1" ht="88.5" hidden="1" customHeight="1">
      <c r="A79" s="399">
        <v>137.64176597267831</v>
      </c>
      <c r="B79" s="417" t="s">
        <v>104</v>
      </c>
      <c r="AA79" s="415">
        <v>133.48378750237927</v>
      </c>
      <c r="AB79" s="414">
        <v>107.23855838581881</v>
      </c>
      <c r="AC79" s="414">
        <v>89.37169448440018</v>
      </c>
      <c r="AD79" s="414">
        <v>48.027143979705983</v>
      </c>
      <c r="AE79" s="414">
        <v>114.48887101883436</v>
      </c>
      <c r="AF79" s="412">
        <v>140.88500172456455</v>
      </c>
      <c r="AG79" s="408">
        <v>132.37156170749148</v>
      </c>
      <c r="AH79" s="413">
        <v>88.812293776371575</v>
      </c>
      <c r="AI79" s="412">
        <v>370.58893286820188</v>
      </c>
      <c r="AJ79" s="410">
        <v>46.899447921553822</v>
      </c>
      <c r="AK79" s="411">
        <v>57.167069459472721</v>
      </c>
      <c r="AL79" s="410">
        <v>53.452105972354666</v>
      </c>
      <c r="AM79" s="409">
        <v>44.856520795488564</v>
      </c>
      <c r="AN79" s="408">
        <v>37.771080549464827</v>
      </c>
      <c r="AO79" s="408">
        <v>54.695371667408132</v>
      </c>
      <c r="AP79" s="408">
        <v>43.890491521669219</v>
      </c>
      <c r="AQ79" s="408">
        <v>67.88712864630871</v>
      </c>
      <c r="AR79" s="408">
        <v>54.851693134495719</v>
      </c>
      <c r="AS79" s="406">
        <v>62.183610061258605</v>
      </c>
      <c r="AT79" s="407">
        <v>45.960719302414311</v>
      </c>
      <c r="AU79" s="406">
        <v>368.4964579915212</v>
      </c>
      <c r="AV79" s="405">
        <v>45.271922086632259</v>
      </c>
      <c r="AW79" s="404">
        <v>50.725690596330068</v>
      </c>
      <c r="AX79" s="404">
        <v>53.433919689601893</v>
      </c>
      <c r="AY79" s="403">
        <v>42.561104923973339</v>
      </c>
      <c r="AZ79" s="402">
        <v>32.851505527200253</v>
      </c>
      <c r="BA79" s="402">
        <v>60.399400943431424</v>
      </c>
      <c r="BB79" s="402">
        <v>71.182010578202195</v>
      </c>
      <c r="BC79" s="402">
        <v>63.198351253518787</v>
      </c>
      <c r="BD79" s="402">
        <v>63.198351253518787</v>
      </c>
      <c r="BE79" s="401">
        <v>54.980731920369827</v>
      </c>
      <c r="BF79" s="401">
        <v>114.31740210912034</v>
      </c>
      <c r="BG79" s="401">
        <v>88.02489728808392</v>
      </c>
      <c r="BH79" s="401">
        <v>75.884486215384342</v>
      </c>
      <c r="BI79" s="401">
        <v>67.91093683077689</v>
      </c>
      <c r="BJ79" s="401">
        <v>112.65550452015115</v>
      </c>
      <c r="BK79" s="401">
        <v>45.430791782707303</v>
      </c>
      <c r="BL79" s="401">
        <v>45.84972893236467</v>
      </c>
      <c r="BM79" s="401">
        <v>45.910762393811183</v>
      </c>
      <c r="BN79" s="401">
        <v>36.086632938873208</v>
      </c>
      <c r="BO79" s="401">
        <v>57.644025688360074</v>
      </c>
      <c r="BP79" s="401">
        <v>67.087590301893286</v>
      </c>
      <c r="BQ79" s="401">
        <v>55.604823354937331</v>
      </c>
      <c r="BR79" s="401">
        <v>217.7604278161925</v>
      </c>
      <c r="BS79" s="401">
        <v>53.638135518882564</v>
      </c>
      <c r="BT79" s="401">
        <v>96.924013181795573</v>
      </c>
      <c r="BU79" s="401">
        <v>84.80285910737328</v>
      </c>
      <c r="BV79" s="401">
        <v>200.93498881511678</v>
      </c>
      <c r="BW79" s="401">
        <v>71.708763582454011</v>
      </c>
      <c r="BX79" s="401">
        <v>73.883406689788259</v>
      </c>
      <c r="BY79" s="401">
        <v>111.28278426456784</v>
      </c>
      <c r="BZ79" s="401">
        <v>84.505357762422634</v>
      </c>
      <c r="CA79" s="401">
        <v>65.178260087581222</v>
      </c>
      <c r="CB79" s="401">
        <v>91.73680540553039</v>
      </c>
      <c r="CC79" s="401">
        <v>100.05361567287481</v>
      </c>
      <c r="CD79" s="401">
        <v>141.0944852633867</v>
      </c>
      <c r="CE79" s="401">
        <v>63.23777195129319</v>
      </c>
      <c r="CF79" s="401">
        <v>70.413766070782856</v>
      </c>
      <c r="CG79" s="401">
        <v>74.892299097827873</v>
      </c>
      <c r="CH79" s="401">
        <v>68.870843869164972</v>
      </c>
      <c r="CI79" s="401">
        <v>128.74205561983041</v>
      </c>
      <c r="CJ79" s="401">
        <v>107.35900557317335</v>
      </c>
      <c r="CK79" s="401">
        <v>89.469222645270321</v>
      </c>
      <c r="CL79" s="401">
        <v>73.845724077854413</v>
      </c>
      <c r="CM79" s="401">
        <v>80.743423909798253</v>
      </c>
      <c r="CN79" s="401">
        <v>112.43978180449882</v>
      </c>
      <c r="CO79" s="401">
        <v>87.576202422619389</v>
      </c>
      <c r="CP79" s="401">
        <v>62.772687458666724</v>
      </c>
      <c r="CQ79" s="401">
        <v>62.468674736508042</v>
      </c>
      <c r="CR79" s="401">
        <v>116.72171586554741</v>
      </c>
      <c r="CS79" s="401">
        <v>93.491226274868879</v>
      </c>
      <c r="CT79" s="401">
        <v>115.6485992882531</v>
      </c>
      <c r="CU79" s="401">
        <v>85.121025283916225</v>
      </c>
      <c r="CV79" s="401">
        <v>92.112461065835276</v>
      </c>
      <c r="CW79" s="401">
        <v>83.14138790025757</v>
      </c>
      <c r="CX79" s="401">
        <v>99.679885091808671</v>
      </c>
      <c r="CY79" s="401">
        <v>90.43278474650316</v>
      </c>
      <c r="CZ79" s="401">
        <v>115.35949541263982</v>
      </c>
      <c r="DA79" s="401">
        <v>99.423117460425942</v>
      </c>
      <c r="DB79" s="401">
        <v>109.08358713574448</v>
      </c>
      <c r="DC79" s="401">
        <v>134.90804364432066</v>
      </c>
      <c r="DD79" s="401">
        <v>131.19435558415572</v>
      </c>
      <c r="DE79" s="401">
        <v>129.03224318246896</v>
      </c>
      <c r="DF79" s="401">
        <v>86.271634223742026</v>
      </c>
      <c r="DG79" s="401">
        <v>71.878176636301362</v>
      </c>
      <c r="DH79" s="401">
        <v>74.492104340157638</v>
      </c>
      <c r="DI79" s="401">
        <v>107.23834031273967</v>
      </c>
      <c r="DJ79" s="401">
        <v>63.138310154006504</v>
      </c>
      <c r="DK79" s="365">
        <f t="shared" si="11"/>
        <v>90.013689835454429</v>
      </c>
      <c r="DL79" s="365">
        <f t="shared" si="12"/>
        <v>79.1867328608013</v>
      </c>
      <c r="DM79" s="400">
        <f t="shared" si="13"/>
        <v>-12.028122604955838</v>
      </c>
      <c r="DN79" s="346"/>
    </row>
    <row r="80" spans="1:118" s="399" customFormat="1" ht="88.5" hidden="1" customHeight="1">
      <c r="A80" s="399">
        <v>140.43119345635449</v>
      </c>
      <c r="B80" s="417" t="s">
        <v>103</v>
      </c>
      <c r="AA80" s="415">
        <v>156.90261592620442</v>
      </c>
      <c r="AB80" s="414">
        <v>142.7988751232885</v>
      </c>
      <c r="AC80" s="414">
        <v>151.00269083273278</v>
      </c>
      <c r="AD80" s="414">
        <v>155.26600564410461</v>
      </c>
      <c r="AE80" s="414">
        <v>154.5022897709114</v>
      </c>
      <c r="AF80" s="412">
        <v>148.97904646225231</v>
      </c>
      <c r="AG80" s="408">
        <v>153.63019604691351</v>
      </c>
      <c r="AH80" s="413">
        <v>143.3343637511104</v>
      </c>
      <c r="AI80" s="412">
        <v>175.07682028365298</v>
      </c>
      <c r="AJ80" s="410">
        <v>149.74610792247944</v>
      </c>
      <c r="AK80" s="411">
        <v>122.00402046348937</v>
      </c>
      <c r="AL80" s="410">
        <v>175.20289388543893</v>
      </c>
      <c r="AM80" s="409">
        <v>135.35635845161431</v>
      </c>
      <c r="AN80" s="408">
        <v>149.10480105205096</v>
      </c>
      <c r="AO80" s="408">
        <v>157.75548512933517</v>
      </c>
      <c r="AP80" s="408">
        <v>158.61184883835156</v>
      </c>
      <c r="AQ80" s="408">
        <v>135.30994290215605</v>
      </c>
      <c r="AR80" s="408">
        <v>127.01238134650487</v>
      </c>
      <c r="AS80" s="406">
        <v>133.45182953770251</v>
      </c>
      <c r="AT80" s="407">
        <v>125.67437180369546</v>
      </c>
      <c r="AU80" s="406">
        <v>168.32516124479199</v>
      </c>
      <c r="AV80" s="405">
        <v>149.84532624215134</v>
      </c>
      <c r="AW80" s="404">
        <v>124.94728799753202</v>
      </c>
      <c r="AX80" s="404">
        <v>130.647670753781</v>
      </c>
      <c r="AY80" s="403">
        <v>115.46514053830893</v>
      </c>
      <c r="AZ80" s="402">
        <v>108.31906914504935</v>
      </c>
      <c r="BA80" s="402">
        <v>134.44452105479215</v>
      </c>
      <c r="BB80" s="402">
        <v>132.14377743626039</v>
      </c>
      <c r="BC80" s="402">
        <v>121.47929529100946</v>
      </c>
      <c r="BD80" s="402">
        <v>121.47929529100946</v>
      </c>
      <c r="BE80" s="401">
        <v>140.51405949956586</v>
      </c>
      <c r="BF80" s="401">
        <v>143.32191613069102</v>
      </c>
      <c r="BG80" s="401">
        <v>144.15789400272706</v>
      </c>
      <c r="BH80" s="401">
        <v>138.55759048560577</v>
      </c>
      <c r="BI80" s="401">
        <v>140.25402584250293</v>
      </c>
      <c r="BJ80" s="401">
        <v>161.05800311841077</v>
      </c>
      <c r="BK80" s="401">
        <v>146.5904333154221</v>
      </c>
      <c r="BL80" s="401">
        <v>143.88664484281014</v>
      </c>
      <c r="BM80" s="401">
        <v>203.54763712184516</v>
      </c>
      <c r="BN80" s="401">
        <v>156.66870823181924</v>
      </c>
      <c r="BO80" s="401">
        <v>183.89273556174786</v>
      </c>
      <c r="BP80" s="401">
        <v>165.83671747448057</v>
      </c>
      <c r="BQ80" s="401">
        <v>167.80932270334796</v>
      </c>
      <c r="BR80" s="401">
        <v>185.87216414336584</v>
      </c>
      <c r="BS80" s="401">
        <v>176.45316746671284</v>
      </c>
      <c r="BT80" s="401">
        <v>185.85392876466901</v>
      </c>
      <c r="BU80" s="401">
        <v>197.91472025639726</v>
      </c>
      <c r="BV80" s="401">
        <v>175.62675654370111</v>
      </c>
      <c r="BW80" s="401">
        <v>173.05946677216974</v>
      </c>
      <c r="BX80" s="401">
        <v>201.98267557631223</v>
      </c>
      <c r="BY80" s="401">
        <v>202.38633569155917</v>
      </c>
      <c r="BZ80" s="401">
        <v>187.78228512580588</v>
      </c>
      <c r="CA80" s="401">
        <v>204.24148279630853</v>
      </c>
      <c r="CB80" s="401">
        <v>244.89562438159561</v>
      </c>
      <c r="CC80" s="401">
        <v>317.55930873091921</v>
      </c>
      <c r="CD80" s="401">
        <v>350.84702257406201</v>
      </c>
      <c r="CE80" s="401">
        <v>288.34746616783713</v>
      </c>
      <c r="CF80" s="401">
        <v>223.79014221028191</v>
      </c>
      <c r="CG80" s="401">
        <v>270.76283156099134</v>
      </c>
      <c r="CH80" s="401">
        <v>283.18883145917698</v>
      </c>
      <c r="CI80" s="401">
        <v>244.86228674209411</v>
      </c>
      <c r="CJ80" s="401">
        <v>261.42716203788177</v>
      </c>
      <c r="CK80" s="401">
        <v>265.15330312891967</v>
      </c>
      <c r="CL80" s="401">
        <v>258.55460030571311</v>
      </c>
      <c r="CM80" s="401">
        <v>231.49914766224717</v>
      </c>
      <c r="CN80" s="401">
        <v>222.01504902183004</v>
      </c>
      <c r="CO80" s="401">
        <v>264.13927962335339</v>
      </c>
      <c r="CP80" s="401">
        <v>218.97615876088287</v>
      </c>
      <c r="CQ80" s="401">
        <v>180.91087492513202</v>
      </c>
      <c r="CR80" s="401">
        <v>199.63537847475132</v>
      </c>
      <c r="CS80" s="401">
        <v>190.22076337672263</v>
      </c>
      <c r="CT80" s="401">
        <v>197.17151902311846</v>
      </c>
      <c r="CU80" s="401">
        <v>194.31120320594289</v>
      </c>
      <c r="CV80" s="401">
        <v>193.47748347084209</v>
      </c>
      <c r="CW80" s="401">
        <v>167.09451344574271</v>
      </c>
      <c r="CX80" s="401">
        <v>201.88730088500569</v>
      </c>
      <c r="CY80" s="401">
        <v>179.58028119620013</v>
      </c>
      <c r="CZ80" s="401">
        <v>188.20440359443722</v>
      </c>
      <c r="DA80" s="401">
        <v>182.47032426800698</v>
      </c>
      <c r="DB80" s="401">
        <v>121.10114159299253</v>
      </c>
      <c r="DC80" s="401">
        <v>161.87115386162188</v>
      </c>
      <c r="DD80" s="401">
        <v>152.39394284988663</v>
      </c>
      <c r="DE80" s="401">
        <v>147.4136136053001</v>
      </c>
      <c r="DF80" s="401">
        <v>138.41609051563577</v>
      </c>
      <c r="DG80" s="401">
        <v>144.97734345208173</v>
      </c>
      <c r="DH80" s="401">
        <v>146.1987781585554</v>
      </c>
      <c r="DI80" s="401">
        <v>160.66310497370847</v>
      </c>
      <c r="DJ80" s="401">
        <v>171.83923676645722</v>
      </c>
      <c r="DK80" s="365">
        <f t="shared" si="11"/>
        <v>189.19262525188333</v>
      </c>
      <c r="DL80" s="365">
        <f t="shared" si="12"/>
        <v>155.91961583770069</v>
      </c>
      <c r="DM80" s="400">
        <f t="shared" si="13"/>
        <v>-17.58684270588471</v>
      </c>
      <c r="DN80" s="346"/>
    </row>
    <row r="81" spans="1:118" s="399" customFormat="1" ht="88.5" hidden="1" customHeight="1">
      <c r="A81" s="399">
        <v>113.89231451373779</v>
      </c>
      <c r="B81" s="417" t="s">
        <v>102</v>
      </c>
      <c r="AA81" s="415">
        <v>165.0512641873635</v>
      </c>
      <c r="AB81" s="414">
        <v>179.16578445697002</v>
      </c>
      <c r="AC81" s="414">
        <v>160.72893813250252</v>
      </c>
      <c r="AD81" s="414">
        <v>152.56263255904582</v>
      </c>
      <c r="AE81" s="414">
        <v>157.69201257836551</v>
      </c>
      <c r="AF81" s="412">
        <v>155.25188514417371</v>
      </c>
      <c r="AG81" s="408">
        <v>188.83844310721943</v>
      </c>
      <c r="AH81" s="413">
        <v>141.48821485782938</v>
      </c>
      <c r="AI81" s="412">
        <v>197.76138388248046</v>
      </c>
      <c r="AJ81" s="410">
        <v>206.67889244189419</v>
      </c>
      <c r="AK81" s="411">
        <v>171.36398797438349</v>
      </c>
      <c r="AL81" s="410">
        <v>200.02221449063805</v>
      </c>
      <c r="AM81" s="409">
        <v>165.209398581823</v>
      </c>
      <c r="AN81" s="408">
        <v>156.90603531433979</v>
      </c>
      <c r="AO81" s="408">
        <v>196.26493531177718</v>
      </c>
      <c r="AP81" s="408">
        <v>190.89689506823862</v>
      </c>
      <c r="AQ81" s="408">
        <v>167.49659241790928</v>
      </c>
      <c r="AR81" s="408">
        <v>163.31345329212579</v>
      </c>
      <c r="AS81" s="406">
        <v>205.47408798509423</v>
      </c>
      <c r="AT81" s="407">
        <v>211.07038722509446</v>
      </c>
      <c r="AU81" s="406">
        <v>164.73963973018351</v>
      </c>
      <c r="AV81" s="405">
        <v>195.09013626828875</v>
      </c>
      <c r="AW81" s="404">
        <v>172.17185113013721</v>
      </c>
      <c r="AX81" s="404">
        <v>237.7357542736591</v>
      </c>
      <c r="AY81" s="403">
        <v>195.34622210460492</v>
      </c>
      <c r="AZ81" s="402">
        <v>173.80235250541932</v>
      </c>
      <c r="BA81" s="402">
        <v>231.67626459241239</v>
      </c>
      <c r="BB81" s="402">
        <v>217.53904988213429</v>
      </c>
      <c r="BC81" s="402">
        <v>203.16516183666641</v>
      </c>
      <c r="BD81" s="402">
        <v>203.16516183666641</v>
      </c>
      <c r="BE81" s="401">
        <v>229.67962962357407</v>
      </c>
      <c r="BF81" s="401">
        <v>222.97987483222383</v>
      </c>
      <c r="BG81" s="401">
        <v>217.75334169335602</v>
      </c>
      <c r="BH81" s="401">
        <v>235.80645356657328</v>
      </c>
      <c r="BI81" s="401">
        <v>246.27542854339686</v>
      </c>
      <c r="BJ81" s="401">
        <v>301.76397404344328</v>
      </c>
      <c r="BK81" s="401">
        <v>260.958457329564</v>
      </c>
      <c r="BL81" s="401">
        <v>262.29090710377181</v>
      </c>
      <c r="BM81" s="401">
        <v>261.04363948152485</v>
      </c>
      <c r="BN81" s="401">
        <v>280.41881718052434</v>
      </c>
      <c r="BO81" s="401">
        <v>305.8570656414168</v>
      </c>
      <c r="BP81" s="401">
        <v>269.20666221105068</v>
      </c>
      <c r="BQ81" s="401">
        <v>332.20800233224185</v>
      </c>
      <c r="BR81" s="401">
        <v>281.47071887886528</v>
      </c>
      <c r="BS81" s="401">
        <v>307.60150568400468</v>
      </c>
      <c r="BT81" s="401">
        <v>290.01565422926149</v>
      </c>
      <c r="BU81" s="401">
        <v>316.88097065350843</v>
      </c>
      <c r="BV81" s="401">
        <v>327.5056773058372</v>
      </c>
      <c r="BW81" s="401">
        <v>335.01032674954138</v>
      </c>
      <c r="BX81" s="401">
        <v>388.25038581388293</v>
      </c>
      <c r="BY81" s="401">
        <v>396.51778134566285</v>
      </c>
      <c r="BZ81" s="401">
        <v>358.15063353843931</v>
      </c>
      <c r="CA81" s="401">
        <v>376.46676554815934</v>
      </c>
      <c r="CB81" s="401">
        <v>456.07364648229958</v>
      </c>
      <c r="CC81" s="401">
        <v>432.50013323111386</v>
      </c>
      <c r="CD81" s="401">
        <v>412.38158439307153</v>
      </c>
      <c r="CE81" s="401">
        <v>363.82042634148547</v>
      </c>
      <c r="CF81" s="401">
        <v>399.58598078365958</v>
      </c>
      <c r="CG81" s="401">
        <v>441.66023849276712</v>
      </c>
      <c r="CH81" s="401">
        <v>450.70052793459001</v>
      </c>
      <c r="CI81" s="401">
        <v>563.40658297457389</v>
      </c>
      <c r="CJ81" s="401">
        <v>607.64328364620053</v>
      </c>
      <c r="CK81" s="401">
        <v>638.54355979940885</v>
      </c>
      <c r="CL81" s="401">
        <v>615.473743069943</v>
      </c>
      <c r="CM81" s="401">
        <v>540.45835713495467</v>
      </c>
      <c r="CN81" s="401">
        <v>568.7240238448652</v>
      </c>
      <c r="CO81" s="401">
        <v>491.94249058127747</v>
      </c>
      <c r="CP81" s="401">
        <v>454.59457817305849</v>
      </c>
      <c r="CQ81" s="401">
        <v>503.76218485020439</v>
      </c>
      <c r="CR81" s="401">
        <v>506.15542069403915</v>
      </c>
      <c r="CS81" s="401">
        <v>532.67270099919244</v>
      </c>
      <c r="CT81" s="401">
        <v>571.46567319290511</v>
      </c>
      <c r="CU81" s="401">
        <v>585.48859711801538</v>
      </c>
      <c r="CV81" s="401">
        <v>533.65912420290726</v>
      </c>
      <c r="CW81" s="401">
        <v>598.32868759616281</v>
      </c>
      <c r="CX81" s="401">
        <v>563.02452368662136</v>
      </c>
      <c r="CY81" s="401">
        <v>526.58602958513279</v>
      </c>
      <c r="CZ81" s="401">
        <v>655.67937257242761</v>
      </c>
      <c r="DA81" s="401">
        <v>542.17998516397859</v>
      </c>
      <c r="DB81" s="401">
        <v>538.70227384707266</v>
      </c>
      <c r="DC81" s="401">
        <v>648.42003707697927</v>
      </c>
      <c r="DD81" s="401">
        <v>491.11113395848827</v>
      </c>
      <c r="DE81" s="401">
        <v>564.82375564731296</v>
      </c>
      <c r="DF81" s="401">
        <v>712.02805149722724</v>
      </c>
      <c r="DG81" s="401">
        <v>635.39438726638059</v>
      </c>
      <c r="DH81" s="401">
        <v>643.50689458452541</v>
      </c>
      <c r="DI81" s="401">
        <v>624.43773816392695</v>
      </c>
      <c r="DJ81" s="401">
        <v>641.42251372295607</v>
      </c>
      <c r="DK81" s="365">
        <f t="shared" si="11"/>
        <v>570.12523315092676</v>
      </c>
      <c r="DL81" s="365">
        <f t="shared" si="12"/>
        <v>636.1903834344472</v>
      </c>
      <c r="DM81" s="400">
        <f t="shared" si="13"/>
        <v>11.587831311797302</v>
      </c>
      <c r="DN81" s="346"/>
    </row>
    <row r="82" spans="1:118" s="399" customFormat="1" ht="88.5" hidden="1" customHeight="1">
      <c r="A82" s="399">
        <v>150.09578575237069</v>
      </c>
      <c r="B82" s="417" t="s">
        <v>101</v>
      </c>
      <c r="AA82" s="415">
        <v>88.007687270660895</v>
      </c>
      <c r="AB82" s="414">
        <v>82.896785031495568</v>
      </c>
      <c r="AC82" s="414">
        <v>89.120818538019492</v>
      </c>
      <c r="AD82" s="414">
        <v>84.338167442342893</v>
      </c>
      <c r="AE82" s="414">
        <v>84.584648202072245</v>
      </c>
      <c r="AF82" s="412">
        <v>85.530196616164432</v>
      </c>
      <c r="AG82" s="408">
        <v>88.5324927952325</v>
      </c>
      <c r="AH82" s="413">
        <v>124.07892926922867</v>
      </c>
      <c r="AI82" s="412">
        <v>76.128447719454215</v>
      </c>
      <c r="AJ82" s="410">
        <v>72.606187764613125</v>
      </c>
      <c r="AK82" s="411">
        <v>88.206979449201768</v>
      </c>
      <c r="AL82" s="410">
        <v>103.50040829586298</v>
      </c>
      <c r="AM82" s="409">
        <v>93.345906047838241</v>
      </c>
      <c r="AN82" s="408">
        <v>82.470782260729308</v>
      </c>
      <c r="AO82" s="408">
        <v>91.191769317383077</v>
      </c>
      <c r="AP82" s="408">
        <v>98.720429589989635</v>
      </c>
      <c r="AQ82" s="408">
        <v>94.942792004411388</v>
      </c>
      <c r="AR82" s="408">
        <v>91.093975154772764</v>
      </c>
      <c r="AS82" s="406">
        <v>112.19063133261433</v>
      </c>
      <c r="AT82" s="407">
        <v>143.6993798421594</v>
      </c>
      <c r="AU82" s="406">
        <v>103.11271017971431</v>
      </c>
      <c r="AV82" s="405">
        <v>99.227155060212496</v>
      </c>
      <c r="AW82" s="404">
        <v>61.913082039067653</v>
      </c>
      <c r="AX82" s="404">
        <v>142.15348240182624</v>
      </c>
      <c r="AY82" s="403">
        <v>124.09072750802009</v>
      </c>
      <c r="AZ82" s="402">
        <v>111.17679045377659</v>
      </c>
      <c r="BA82" s="402">
        <v>117.07775501834556</v>
      </c>
      <c r="BB82" s="402">
        <v>109.18834536542205</v>
      </c>
      <c r="BC82" s="402">
        <v>120.46405603482303</v>
      </c>
      <c r="BD82" s="402">
        <v>120.46405603482303</v>
      </c>
      <c r="BE82" s="401">
        <v>161.62599788619264</v>
      </c>
      <c r="BF82" s="401">
        <v>179.04608640615925</v>
      </c>
      <c r="BG82" s="401">
        <v>116.69495812692075</v>
      </c>
      <c r="BH82" s="401">
        <v>95.073143387888621</v>
      </c>
      <c r="BI82" s="401">
        <v>110.63974022531774</v>
      </c>
      <c r="BJ82" s="401">
        <v>124.27821421643155</v>
      </c>
      <c r="BK82" s="401">
        <v>143.14067383167696</v>
      </c>
      <c r="BL82" s="401">
        <v>114.08126665945508</v>
      </c>
      <c r="BM82" s="401">
        <v>130.67180268397038</v>
      </c>
      <c r="BN82" s="401">
        <v>103.65823553269998</v>
      </c>
      <c r="BO82" s="401">
        <v>133.38970126695278</v>
      </c>
      <c r="BP82" s="401">
        <v>101.69432015024933</v>
      </c>
      <c r="BQ82" s="401">
        <v>110.95840443469774</v>
      </c>
      <c r="BR82" s="401">
        <v>117.2837725900318</v>
      </c>
      <c r="BS82" s="401">
        <v>47.268802126263488</v>
      </c>
      <c r="BT82" s="401">
        <v>95.184242446249883</v>
      </c>
      <c r="BU82" s="401">
        <v>135.09429815812848</v>
      </c>
      <c r="BV82" s="401">
        <v>137.60536670059335</v>
      </c>
      <c r="BW82" s="401">
        <v>128.29155378679081</v>
      </c>
      <c r="BX82" s="401">
        <v>147.60013764339797</v>
      </c>
      <c r="BY82" s="401">
        <v>138.13341032337789</v>
      </c>
      <c r="BZ82" s="401">
        <v>93.752469607823258</v>
      </c>
      <c r="CA82" s="401">
        <v>155.53871490652173</v>
      </c>
      <c r="CB82" s="401">
        <v>108.59995129892918</v>
      </c>
      <c r="CC82" s="401">
        <v>142.89928611283679</v>
      </c>
      <c r="CD82" s="401">
        <v>147.07472166374293</v>
      </c>
      <c r="CE82" s="401">
        <v>128.02056418608274</v>
      </c>
      <c r="CF82" s="401">
        <v>193.4536845958425</v>
      </c>
      <c r="CG82" s="401">
        <v>112.38054076869513</v>
      </c>
      <c r="CH82" s="401">
        <v>125.71694413903117</v>
      </c>
      <c r="CI82" s="401">
        <v>133.52084987857529</v>
      </c>
      <c r="CJ82" s="401">
        <v>86.146486057834437</v>
      </c>
      <c r="CK82" s="401">
        <v>86.671147039014713</v>
      </c>
      <c r="CL82" s="401">
        <v>63.199067402851618</v>
      </c>
      <c r="CM82" s="401">
        <v>47.489538529408684</v>
      </c>
      <c r="CN82" s="401">
        <v>163.28256324886948</v>
      </c>
      <c r="CO82" s="401">
        <v>185.08174995185283</v>
      </c>
      <c r="CP82" s="401">
        <v>87.731080731336775</v>
      </c>
      <c r="CQ82" s="401">
        <v>30.206246781256667</v>
      </c>
      <c r="CR82" s="401">
        <v>32.683998297033455</v>
      </c>
      <c r="CS82" s="401">
        <v>29.990611767333011</v>
      </c>
      <c r="CT82" s="401">
        <v>45.988534355056643</v>
      </c>
      <c r="CU82" s="401">
        <v>137.10535148764478</v>
      </c>
      <c r="CV82" s="401">
        <v>119.01096173025593</v>
      </c>
      <c r="CW82" s="401">
        <v>136.21302986046243</v>
      </c>
      <c r="CX82" s="401">
        <v>129.58488640136187</v>
      </c>
      <c r="CY82" s="401">
        <v>123.35870981578937</v>
      </c>
      <c r="CZ82" s="401">
        <v>157.84207370745716</v>
      </c>
      <c r="DA82" s="401">
        <v>149.62713395985409</v>
      </c>
      <c r="DB82" s="401">
        <v>120.45386830906537</v>
      </c>
      <c r="DC82" s="401">
        <v>81.420756302064873</v>
      </c>
      <c r="DD82" s="401">
        <v>67.898511469277537</v>
      </c>
      <c r="DE82" s="401">
        <v>97.774037089464045</v>
      </c>
      <c r="DF82" s="401">
        <v>147.66423347733561</v>
      </c>
      <c r="DG82" s="401">
        <v>126.13001097199009</v>
      </c>
      <c r="DH82" s="401">
        <v>107.03195580628064</v>
      </c>
      <c r="DI82" s="401">
        <v>123.63389767697944</v>
      </c>
      <c r="DJ82" s="401">
        <v>168.76553794465354</v>
      </c>
      <c r="DK82" s="365">
        <f t="shared" si="11"/>
        <v>130.47855736993125</v>
      </c>
      <c r="DL82" s="365">
        <f t="shared" si="12"/>
        <v>131.39035059997593</v>
      </c>
      <c r="DM82" s="400">
        <f t="shared" si="13"/>
        <v>0.69880695221022915</v>
      </c>
      <c r="DN82" s="346"/>
    </row>
    <row r="83" spans="1:118" s="399" customFormat="1" ht="88.5" hidden="1" customHeight="1">
      <c r="A83" s="399">
        <v>142.34924856610604</v>
      </c>
      <c r="B83" s="417" t="s">
        <v>100</v>
      </c>
      <c r="AA83" s="415">
        <v>121.1134124597972</v>
      </c>
      <c r="AB83" s="414">
        <v>104.87895847564245</v>
      </c>
      <c r="AC83" s="414">
        <v>130.61496096879569</v>
      </c>
      <c r="AD83" s="414">
        <v>120.63300636286964</v>
      </c>
      <c r="AE83" s="414">
        <v>120.90285298727302</v>
      </c>
      <c r="AF83" s="412">
        <v>119.50859708521737</v>
      </c>
      <c r="AG83" s="408">
        <v>118.62047238598811</v>
      </c>
      <c r="AH83" s="413">
        <v>126.25423131983449</v>
      </c>
      <c r="AI83" s="412">
        <v>128.27537143413343</v>
      </c>
      <c r="AJ83" s="410">
        <v>122.10058128896917</v>
      </c>
      <c r="AK83" s="411">
        <v>114.58156417317176</v>
      </c>
      <c r="AL83" s="410">
        <v>141.87474363272455</v>
      </c>
      <c r="AM83" s="409">
        <v>82.604804985238403</v>
      </c>
      <c r="AN83" s="408">
        <v>128.65874304701305</v>
      </c>
      <c r="AO83" s="408">
        <v>142.85987398245086</v>
      </c>
      <c r="AP83" s="408">
        <v>138.15114003671624</v>
      </c>
      <c r="AQ83" s="408">
        <v>142.70216538735843</v>
      </c>
      <c r="AR83" s="408">
        <v>130.89627026989382</v>
      </c>
      <c r="AS83" s="406">
        <v>135.0985258987368</v>
      </c>
      <c r="AT83" s="407">
        <v>162.45816606858722</v>
      </c>
      <c r="AU83" s="406">
        <v>143.15185598281502</v>
      </c>
      <c r="AV83" s="405">
        <v>118.1911068407169</v>
      </c>
      <c r="AW83" s="404">
        <v>87.130041267870098</v>
      </c>
      <c r="AX83" s="404">
        <v>135.83347844165505</v>
      </c>
      <c r="AY83" s="403">
        <v>106.002585191091</v>
      </c>
      <c r="AZ83" s="402">
        <v>143.17268719691421</v>
      </c>
      <c r="BA83" s="402">
        <v>164.19522988096111</v>
      </c>
      <c r="BB83" s="402">
        <v>121.86090785935178</v>
      </c>
      <c r="BC83" s="402">
        <v>107.82428933244107</v>
      </c>
      <c r="BD83" s="402">
        <v>107.82428933244107</v>
      </c>
      <c r="BE83" s="401">
        <v>130.34140440768019</v>
      </c>
      <c r="BF83" s="401">
        <v>150.33233007695563</v>
      </c>
      <c r="BG83" s="401">
        <v>103.72887967269534</v>
      </c>
      <c r="BH83" s="401">
        <v>123.34269245065423</v>
      </c>
      <c r="BI83" s="401">
        <v>121.34689577019915</v>
      </c>
      <c r="BJ83" s="401">
        <v>129.86832975000254</v>
      </c>
      <c r="BK83" s="401">
        <v>109.15794552073008</v>
      </c>
      <c r="BL83" s="401">
        <v>114.42619759718784</v>
      </c>
      <c r="BM83" s="401">
        <v>137.26776548893031</v>
      </c>
      <c r="BN83" s="401">
        <v>133.51369875463533</v>
      </c>
      <c r="BO83" s="401">
        <v>145.13121255995824</v>
      </c>
      <c r="BP83" s="401">
        <v>142.95917301499068</v>
      </c>
      <c r="BQ83" s="401">
        <v>134.72675026004057</v>
      </c>
      <c r="BR83" s="401">
        <v>129.79206610608765</v>
      </c>
      <c r="BS83" s="401">
        <v>138.20561963291487</v>
      </c>
      <c r="BT83" s="401">
        <v>142.52140734427437</v>
      </c>
      <c r="BU83" s="401">
        <v>121.76042630550869</v>
      </c>
      <c r="BV83" s="401">
        <v>122.60946504991637</v>
      </c>
      <c r="BW83" s="401">
        <v>118.26392468756995</v>
      </c>
      <c r="BX83" s="401">
        <v>134.41183215627086</v>
      </c>
      <c r="BY83" s="401">
        <v>137.64176597267831</v>
      </c>
      <c r="BZ83" s="401">
        <v>122.41086383156218</v>
      </c>
      <c r="CA83" s="401">
        <v>115.0916040382145</v>
      </c>
      <c r="CB83" s="401">
        <v>115.7388701839614</v>
      </c>
      <c r="CC83" s="401">
        <v>130.60135695585902</v>
      </c>
      <c r="CD83" s="401">
        <v>115.00800047560257</v>
      </c>
      <c r="CE83" s="401">
        <v>103.00191232867795</v>
      </c>
      <c r="CF83" s="401">
        <v>120.99000994174165</v>
      </c>
      <c r="CG83" s="401">
        <v>119.88980733459464</v>
      </c>
      <c r="CH83" s="401">
        <v>111.03156846248045</v>
      </c>
      <c r="CI83" s="401">
        <v>262.34950694529152</v>
      </c>
      <c r="CJ83" s="401">
        <v>132.72234533569488</v>
      </c>
      <c r="CK83" s="401">
        <v>124.08057089377597</v>
      </c>
      <c r="CL83" s="401">
        <v>116.84069182839747</v>
      </c>
      <c r="CM83" s="401">
        <v>126.75475731379163</v>
      </c>
      <c r="CN83" s="401">
        <v>129.29215907794881</v>
      </c>
      <c r="CO83" s="401">
        <v>133.25717520474836</v>
      </c>
      <c r="CP83" s="401">
        <v>124.64827722253777</v>
      </c>
      <c r="CQ83" s="401">
        <v>111.03188898855952</v>
      </c>
      <c r="CR83" s="401">
        <v>114.90560194328958</v>
      </c>
      <c r="CS83" s="401">
        <v>111.42896118593906</v>
      </c>
      <c r="CT83" s="401">
        <v>117.44877567880633</v>
      </c>
      <c r="CU83" s="401">
        <v>85.761177467144279</v>
      </c>
      <c r="CV83" s="401">
        <v>101.27642752763656</v>
      </c>
      <c r="CW83" s="401">
        <v>128.69972992272682</v>
      </c>
      <c r="CX83" s="401">
        <v>133.70935763962788</v>
      </c>
      <c r="CY83" s="401">
        <v>119.08287446510165</v>
      </c>
      <c r="CZ83" s="401">
        <v>121.96792676838663</v>
      </c>
      <c r="DA83" s="401">
        <v>108.05313423964085</v>
      </c>
      <c r="DB83" s="401">
        <v>112.60965659960826</v>
      </c>
      <c r="DC83" s="401">
        <v>142.72557825406392</v>
      </c>
      <c r="DD83" s="401">
        <v>123.82497600866657</v>
      </c>
      <c r="DE83" s="401">
        <v>120.09320484532846</v>
      </c>
      <c r="DF83" s="401">
        <v>124.43917546186783</v>
      </c>
      <c r="DG83" s="401">
        <v>110.232946829065</v>
      </c>
      <c r="DH83" s="401">
        <v>122.60732543649904</v>
      </c>
      <c r="DI83" s="401">
        <v>151.91497090321033</v>
      </c>
      <c r="DJ83" s="401">
        <v>107.80008284994128</v>
      </c>
      <c r="DK83" s="365">
        <f t="shared" si="11"/>
        <v>112.36167313928388</v>
      </c>
      <c r="DL83" s="365">
        <f t="shared" si="12"/>
        <v>123.1388315046789</v>
      </c>
      <c r="DM83" s="400">
        <f t="shared" si="13"/>
        <v>9.591489752947723</v>
      </c>
      <c r="DN83" s="346"/>
    </row>
    <row r="84" spans="1:118" s="399" customFormat="1" ht="88.5" hidden="1" customHeight="1">
      <c r="A84" s="399">
        <v>223.18607124988083</v>
      </c>
      <c r="B84" s="417" t="s">
        <v>99</v>
      </c>
      <c r="AA84" s="415">
        <v>99.385683353973391</v>
      </c>
      <c r="AB84" s="414">
        <v>135.63151482109586</v>
      </c>
      <c r="AC84" s="414">
        <v>88.685852511973735</v>
      </c>
      <c r="AD84" s="414">
        <v>109.50349079466517</v>
      </c>
      <c r="AE84" s="414">
        <v>78.389394735499138</v>
      </c>
      <c r="AF84" s="412">
        <v>102.59006672903662</v>
      </c>
      <c r="AG84" s="408">
        <v>108.4951086911401</v>
      </c>
      <c r="AH84" s="413">
        <v>87.306130067757749</v>
      </c>
      <c r="AI84" s="412">
        <v>98.655292508059716</v>
      </c>
      <c r="AJ84" s="410">
        <v>79.459994746566139</v>
      </c>
      <c r="AK84" s="411">
        <v>60.296291503868993</v>
      </c>
      <c r="AL84" s="410">
        <v>67.205376485201441</v>
      </c>
      <c r="AM84" s="409">
        <v>151.87490560432613</v>
      </c>
      <c r="AN84" s="408">
        <v>125.39630367621544</v>
      </c>
      <c r="AO84" s="408">
        <v>123.11389559984265</v>
      </c>
      <c r="AP84" s="408">
        <v>116.0838014511106</v>
      </c>
      <c r="AQ84" s="408">
        <v>93.696402591745723</v>
      </c>
      <c r="AR84" s="408">
        <v>121.29279819330857</v>
      </c>
      <c r="AS84" s="406">
        <v>58.992929729890264</v>
      </c>
      <c r="AT84" s="407">
        <v>119.50143337657138</v>
      </c>
      <c r="AU84" s="406">
        <v>149.87857044238908</v>
      </c>
      <c r="AV84" s="405">
        <v>130.2150054783005</v>
      </c>
      <c r="AW84" s="404">
        <v>159.81777533337674</v>
      </c>
      <c r="AX84" s="404">
        <v>91.743503871662469</v>
      </c>
      <c r="AY84" s="403">
        <v>103.8166419288476</v>
      </c>
      <c r="AZ84" s="402">
        <v>108.43140408376409</v>
      </c>
      <c r="BA84" s="402">
        <v>117.98284488531132</v>
      </c>
      <c r="BB84" s="402">
        <v>71.550942386142921</v>
      </c>
      <c r="BC84" s="402">
        <v>123.94209573846582</v>
      </c>
      <c r="BD84" s="402">
        <v>123.94209573846582</v>
      </c>
      <c r="BE84" s="401">
        <v>94.108699850401294</v>
      </c>
      <c r="BF84" s="401">
        <v>88.706779720507939</v>
      </c>
      <c r="BG84" s="401">
        <v>57.913976721672334</v>
      </c>
      <c r="BH84" s="401">
        <v>55.074850442648341</v>
      </c>
      <c r="BI84" s="401">
        <v>65.600492146144447</v>
      </c>
      <c r="BJ84" s="401">
        <v>87.058449984169698</v>
      </c>
      <c r="BK84" s="401">
        <v>107.24125375336659</v>
      </c>
      <c r="BL84" s="401">
        <v>110.74728033062512</v>
      </c>
      <c r="BM84" s="401">
        <v>127.48026928773108</v>
      </c>
      <c r="BN84" s="401">
        <v>70.024448524573216</v>
      </c>
      <c r="BO84" s="401">
        <v>103.75808601599414</v>
      </c>
      <c r="BP84" s="401">
        <v>115.61709519393415</v>
      </c>
      <c r="BQ84" s="401">
        <v>110.10367275481968</v>
      </c>
      <c r="BR84" s="401">
        <v>138.66139086453646</v>
      </c>
      <c r="BS84" s="401">
        <v>70.857711428569701</v>
      </c>
      <c r="BT84" s="401">
        <v>72.697829275194024</v>
      </c>
      <c r="BU84" s="401">
        <v>70.432478577914097</v>
      </c>
      <c r="BV84" s="401">
        <v>92.613097142959319</v>
      </c>
      <c r="BW84" s="401">
        <v>141.88959949444163</v>
      </c>
      <c r="BX84" s="401">
        <v>131.38919511332611</v>
      </c>
      <c r="BY84" s="401">
        <v>140.43119345635449</v>
      </c>
      <c r="BZ84" s="401">
        <v>61.784301869617934</v>
      </c>
      <c r="CA84" s="401">
        <v>85.258914308041767</v>
      </c>
      <c r="CB84" s="401">
        <v>84.139985250092764</v>
      </c>
      <c r="CC84" s="401">
        <v>96.834309922305664</v>
      </c>
      <c r="CD84" s="401">
        <v>150.36311401180305</v>
      </c>
      <c r="CE84" s="401">
        <v>107.97092281482223</v>
      </c>
      <c r="CF84" s="401">
        <v>81.32003989226105</v>
      </c>
      <c r="CG84" s="401">
        <v>125.50615048569185</v>
      </c>
      <c r="CH84" s="401">
        <v>103.40686277758</v>
      </c>
      <c r="CI84" s="401">
        <v>130.20834184443746</v>
      </c>
      <c r="CJ84" s="401">
        <v>148.36346374475931</v>
      </c>
      <c r="CK84" s="401">
        <v>173.6241948153102</v>
      </c>
      <c r="CL84" s="401">
        <v>118.24384313331447</v>
      </c>
      <c r="CM84" s="401">
        <v>89.658820699987416</v>
      </c>
      <c r="CN84" s="401">
        <v>113.27694368018587</v>
      </c>
      <c r="CO84" s="401">
        <v>88.389182201597492</v>
      </c>
      <c r="CP84" s="401">
        <v>179.71214804406185</v>
      </c>
      <c r="CQ84" s="401">
        <v>100.68229629222853</v>
      </c>
      <c r="CR84" s="401">
        <v>119.22920812538088</v>
      </c>
      <c r="CS84" s="401">
        <v>108.95492531268191</v>
      </c>
      <c r="CT84" s="401">
        <v>106.48003752375625</v>
      </c>
      <c r="CU84" s="401">
        <v>138.46484240081864</v>
      </c>
      <c r="CV84" s="401">
        <v>132.12135945570293</v>
      </c>
      <c r="CW84" s="401">
        <v>150.78436087466915</v>
      </c>
      <c r="CX84" s="401">
        <v>124.68114794189179</v>
      </c>
      <c r="CY84" s="401">
        <v>108.19005031015617</v>
      </c>
      <c r="CZ84" s="401">
        <v>148.36289035530811</v>
      </c>
      <c r="DA84" s="401">
        <v>109.87809796894258</v>
      </c>
      <c r="DB84" s="401">
        <v>208.65002001814401</v>
      </c>
      <c r="DC84" s="401">
        <v>95.874262282913435</v>
      </c>
      <c r="DD84" s="401">
        <v>119.92382215461606</v>
      </c>
      <c r="DE84" s="401">
        <v>101.4402896945129</v>
      </c>
      <c r="DF84" s="401">
        <v>154.78616627150487</v>
      </c>
      <c r="DG84" s="401">
        <v>156.33090157787646</v>
      </c>
      <c r="DH84" s="401">
        <v>166.39015926448869</v>
      </c>
      <c r="DI84" s="401">
        <v>193.4619249676494</v>
      </c>
      <c r="DJ84" s="401">
        <v>133.04489963474893</v>
      </c>
      <c r="DK84" s="365">
        <f t="shared" si="11"/>
        <v>136.51292766827063</v>
      </c>
      <c r="DL84" s="365">
        <f t="shared" si="12"/>
        <v>162.30697136119088</v>
      </c>
      <c r="DM84" s="400">
        <f t="shared" si="13"/>
        <v>18.894945800005345</v>
      </c>
      <c r="DN84" s="346"/>
    </row>
    <row r="85" spans="1:118" s="399" customFormat="1" ht="88.5" hidden="1" customHeight="1">
      <c r="A85" s="399">
        <v>170.39129497224653</v>
      </c>
      <c r="B85" s="417" t="s">
        <v>98</v>
      </c>
      <c r="AA85" s="415">
        <v>118.66915847885167</v>
      </c>
      <c r="AB85" s="414">
        <v>102.90050979122911</v>
      </c>
      <c r="AC85" s="414">
        <v>106.98882440516057</v>
      </c>
      <c r="AD85" s="414">
        <v>103.31276741855753</v>
      </c>
      <c r="AE85" s="414">
        <v>102.665154552792</v>
      </c>
      <c r="AF85" s="412">
        <v>99.04810510787226</v>
      </c>
      <c r="AG85" s="408">
        <v>112.43791122405729</v>
      </c>
      <c r="AH85" s="413">
        <v>112.25492574454044</v>
      </c>
      <c r="AI85" s="412">
        <v>69.868451241496544</v>
      </c>
      <c r="AJ85" s="410">
        <v>114.22223069942939</v>
      </c>
      <c r="AK85" s="411">
        <v>108.78853345151435</v>
      </c>
      <c r="AL85" s="410">
        <v>143.99406161069666</v>
      </c>
      <c r="AM85" s="409">
        <v>93.198468148585562</v>
      </c>
      <c r="AN85" s="408">
        <v>115.34559474478637</v>
      </c>
      <c r="AO85" s="408">
        <v>108.52429297485341</v>
      </c>
      <c r="AP85" s="408">
        <v>112.44939235224967</v>
      </c>
      <c r="AQ85" s="408">
        <v>107.72667528312456</v>
      </c>
      <c r="AR85" s="408">
        <v>110.71146042299391</v>
      </c>
      <c r="AS85" s="406">
        <v>118.72637413847082</v>
      </c>
      <c r="AT85" s="407">
        <v>107.57765889460815</v>
      </c>
      <c r="AU85" s="406">
        <v>73.20964337467332</v>
      </c>
      <c r="AV85" s="405">
        <v>130.74856470176582</v>
      </c>
      <c r="AW85" s="404">
        <v>123.83733047829018</v>
      </c>
      <c r="AX85" s="404">
        <v>154.17475377796404</v>
      </c>
      <c r="AY85" s="403">
        <v>122.50879824986063</v>
      </c>
      <c r="AZ85" s="402">
        <v>100.91223545028998</v>
      </c>
      <c r="BA85" s="402">
        <v>123.09251124810758</v>
      </c>
      <c r="BB85" s="402">
        <v>124.6176029131571</v>
      </c>
      <c r="BC85" s="402">
        <v>127.47971359704817</v>
      </c>
      <c r="BD85" s="402">
        <v>127.47971359704817</v>
      </c>
      <c r="BE85" s="401">
        <v>138.79954695527394</v>
      </c>
      <c r="BF85" s="401">
        <v>133.83564631886182</v>
      </c>
      <c r="BG85" s="401">
        <v>130.87679076754804</v>
      </c>
      <c r="BH85" s="401">
        <v>109.89309928932053</v>
      </c>
      <c r="BI85" s="401">
        <v>146.92764900274778</v>
      </c>
      <c r="BJ85" s="401">
        <v>165.23079912610089</v>
      </c>
      <c r="BK85" s="401">
        <v>138.38093277159575</v>
      </c>
      <c r="BL85" s="401">
        <v>108.5576907483717</v>
      </c>
      <c r="BM85" s="401">
        <v>121.01652835797236</v>
      </c>
      <c r="BN85" s="401">
        <v>121.38755279493317</v>
      </c>
      <c r="BO85" s="401">
        <v>121.00177901608048</v>
      </c>
      <c r="BP85" s="401">
        <v>129.94233261109824</v>
      </c>
      <c r="BQ85" s="401">
        <v>128.19928928923326</v>
      </c>
      <c r="BR85" s="401">
        <v>127.44275542254003</v>
      </c>
      <c r="BS85" s="401">
        <v>99.906963097862516</v>
      </c>
      <c r="BT85" s="401">
        <v>148.99918019222267</v>
      </c>
      <c r="BU85" s="401">
        <v>160.14750531691803</v>
      </c>
      <c r="BV85" s="401">
        <v>145.9632974338914</v>
      </c>
      <c r="BW85" s="401">
        <v>104.36357504923444</v>
      </c>
      <c r="BX85" s="401">
        <v>101.85129445454236</v>
      </c>
      <c r="BY85" s="401">
        <v>113.89231451373779</v>
      </c>
      <c r="BZ85" s="401">
        <v>120.97837660903741</v>
      </c>
      <c r="CA85" s="401">
        <v>129.31835955439308</v>
      </c>
      <c r="CB85" s="401">
        <v>125.92305570808183</v>
      </c>
      <c r="CC85" s="401">
        <v>122.27173177614735</v>
      </c>
      <c r="CD85" s="401">
        <v>118.1292274329623</v>
      </c>
      <c r="CE85" s="401">
        <v>105.88965307187202</v>
      </c>
      <c r="CF85" s="401">
        <v>128.36453441638321</v>
      </c>
      <c r="CG85" s="401">
        <v>164.85311051666375</v>
      </c>
      <c r="CH85" s="401">
        <v>132.07818130975403</v>
      </c>
      <c r="CI85" s="401">
        <v>119.20540722797173</v>
      </c>
      <c r="CJ85" s="401">
        <v>94.627198621217829</v>
      </c>
      <c r="CK85" s="401">
        <v>110.27370697287925</v>
      </c>
      <c r="CL85" s="401">
        <v>105.43748717116789</v>
      </c>
      <c r="CM85" s="401">
        <v>116.95353256563958</v>
      </c>
      <c r="CN85" s="401">
        <v>113.08768788422033</v>
      </c>
      <c r="CO85" s="401">
        <v>101.31655569534382</v>
      </c>
      <c r="CP85" s="401">
        <v>117.24040450581074</v>
      </c>
      <c r="CQ85" s="401">
        <v>81.512989947975612</v>
      </c>
      <c r="CR85" s="401">
        <v>154.18231174118446</v>
      </c>
      <c r="CS85" s="401">
        <v>129.16229931567008</v>
      </c>
      <c r="CT85" s="401">
        <v>107.76545830878906</v>
      </c>
      <c r="CU85" s="401">
        <v>133.48108460570691</v>
      </c>
      <c r="CV85" s="401">
        <v>135.38873732230124</v>
      </c>
      <c r="CW85" s="401">
        <v>108.98785234194479</v>
      </c>
      <c r="CX85" s="401">
        <v>110.89898665845328</v>
      </c>
      <c r="CY85" s="401">
        <v>111.68022531840457</v>
      </c>
      <c r="CZ85" s="401">
        <v>121.40403086820962</v>
      </c>
      <c r="DA85" s="401">
        <v>130.12743166514971</v>
      </c>
      <c r="DB85" s="401">
        <v>148.33582778442832</v>
      </c>
      <c r="DC85" s="401">
        <v>103.42990387203949</v>
      </c>
      <c r="DD85" s="401">
        <v>151.3823962416528</v>
      </c>
      <c r="DE85" s="401">
        <v>139.30306688785254</v>
      </c>
      <c r="DF85" s="401">
        <v>122.41391028497941</v>
      </c>
      <c r="DG85" s="401">
        <v>102.36431544469123</v>
      </c>
      <c r="DH85" s="401">
        <v>73.287897491140129</v>
      </c>
      <c r="DI85" s="401">
        <v>107.80539038699641</v>
      </c>
      <c r="DJ85" s="401">
        <v>114.4409829381932</v>
      </c>
      <c r="DK85" s="365">
        <f t="shared" si="11"/>
        <v>122.18916523210156</v>
      </c>
      <c r="DL85" s="365">
        <f t="shared" si="12"/>
        <v>99.474646565255242</v>
      </c>
      <c r="DM85" s="400">
        <f t="shared" si="13"/>
        <v>-18.589634051185712</v>
      </c>
      <c r="DN85" s="346"/>
    </row>
    <row r="86" spans="1:118" s="399" customFormat="1" ht="88.5" hidden="1" customHeight="1">
      <c r="A86" s="399">
        <v>218.01635476169631</v>
      </c>
      <c r="B86" s="417" t="s">
        <v>97</v>
      </c>
      <c r="AA86" s="415">
        <v>53.917161676142044</v>
      </c>
      <c r="AB86" s="414">
        <v>96.262502516462433</v>
      </c>
      <c r="AC86" s="414">
        <v>88.668080179880178</v>
      </c>
      <c r="AD86" s="414">
        <v>94.694374837856827</v>
      </c>
      <c r="AE86" s="414">
        <v>88.223340777036071</v>
      </c>
      <c r="AF86" s="412">
        <v>90.395081616582345</v>
      </c>
      <c r="AG86" s="408">
        <v>106.23835664963023</v>
      </c>
      <c r="AH86" s="413">
        <v>114.85270817313311</v>
      </c>
      <c r="AI86" s="412">
        <v>101.74866929261022</v>
      </c>
      <c r="AJ86" s="410">
        <v>95.896726880798582</v>
      </c>
      <c r="AK86" s="411">
        <v>133.37043535017065</v>
      </c>
      <c r="AL86" s="410">
        <v>121.54776700457541</v>
      </c>
      <c r="AM86" s="409">
        <v>103.35888112197708</v>
      </c>
      <c r="AN86" s="408">
        <v>108.04223525030766</v>
      </c>
      <c r="AO86" s="408">
        <v>88.640366297969834</v>
      </c>
      <c r="AP86" s="408">
        <v>100.53095361664774</v>
      </c>
      <c r="AQ86" s="408">
        <v>106.8402455182635</v>
      </c>
      <c r="AR86" s="408">
        <v>119.61484791970724</v>
      </c>
      <c r="AS86" s="406">
        <v>105.2316334885565</v>
      </c>
      <c r="AT86" s="407">
        <v>107.75064610742126</v>
      </c>
      <c r="AU86" s="406">
        <v>108.34873901882179</v>
      </c>
      <c r="AV86" s="405">
        <v>113.30920493907378</v>
      </c>
      <c r="AW86" s="404">
        <v>111.74927818743421</v>
      </c>
      <c r="AX86" s="404">
        <v>146.02039016920594</v>
      </c>
      <c r="AY86" s="403">
        <v>116.07053956314678</v>
      </c>
      <c r="AZ86" s="402">
        <v>95.827997720795793</v>
      </c>
      <c r="BA86" s="402">
        <v>129.63467770829982</v>
      </c>
      <c r="BB86" s="402">
        <v>104.38091920429004</v>
      </c>
      <c r="BC86" s="402">
        <v>124.68695240163093</v>
      </c>
      <c r="BD86" s="402">
        <v>124.68695240163093</v>
      </c>
      <c r="BE86" s="401">
        <v>140.58017720773921</v>
      </c>
      <c r="BF86" s="401">
        <v>106.36401389632287</v>
      </c>
      <c r="BG86" s="401">
        <v>123.91357317208549</v>
      </c>
      <c r="BH86" s="401">
        <v>124.24509413828798</v>
      </c>
      <c r="BI86" s="401">
        <v>136.60597327950666</v>
      </c>
      <c r="BJ86" s="401">
        <v>160.60353698479341</v>
      </c>
      <c r="BK86" s="401">
        <v>120.71181373097681</v>
      </c>
      <c r="BL86" s="401">
        <v>120.74200912721857</v>
      </c>
      <c r="BM86" s="401">
        <v>155.87396448966803</v>
      </c>
      <c r="BN86" s="401">
        <v>146.71086842064776</v>
      </c>
      <c r="BO86" s="401">
        <v>134.4510107678714</v>
      </c>
      <c r="BP86" s="401">
        <v>142.48130224902744</v>
      </c>
      <c r="BQ86" s="401">
        <v>145.50095289415987</v>
      </c>
      <c r="BR86" s="401">
        <v>113.66789750458888</v>
      </c>
      <c r="BS86" s="401">
        <v>142.33147618579352</v>
      </c>
      <c r="BT86" s="401">
        <v>115.96821792059234</v>
      </c>
      <c r="BU86" s="401">
        <v>98.931267366166296</v>
      </c>
      <c r="BV86" s="401">
        <v>151.77999253769522</v>
      </c>
      <c r="BW86" s="401">
        <v>118.15097497665776</v>
      </c>
      <c r="BX86" s="401">
        <v>145.35729323962835</v>
      </c>
      <c r="BY86" s="401">
        <v>150.09578575237069</v>
      </c>
      <c r="BZ86" s="401">
        <v>126.52301932847553</v>
      </c>
      <c r="CA86" s="401">
        <v>136.51675120922422</v>
      </c>
      <c r="CB86" s="401">
        <v>140.24525085851042</v>
      </c>
      <c r="CC86" s="401">
        <v>144.54260116062176</v>
      </c>
      <c r="CD86" s="401">
        <v>121.57430602117067</v>
      </c>
      <c r="CE86" s="401">
        <v>137.13653969859968</v>
      </c>
      <c r="CF86" s="401">
        <v>99.007355566892215</v>
      </c>
      <c r="CG86" s="401">
        <v>119.07931061521248</v>
      </c>
      <c r="CH86" s="401">
        <v>160.52092381475086</v>
      </c>
      <c r="CI86" s="401">
        <v>147.01150102623345</v>
      </c>
      <c r="CJ86" s="401">
        <v>130.19609035493761</v>
      </c>
      <c r="CK86" s="401">
        <v>153.50809959565316</v>
      </c>
      <c r="CL86" s="401">
        <v>156.29698807557767</v>
      </c>
      <c r="CM86" s="401">
        <v>171.53620590575093</v>
      </c>
      <c r="CN86" s="401">
        <v>198.50968436746658</v>
      </c>
      <c r="CO86" s="401">
        <v>145.71807108841631</v>
      </c>
      <c r="CP86" s="401">
        <v>142.45862558434683</v>
      </c>
      <c r="CQ86" s="401">
        <v>170.1344291703675</v>
      </c>
      <c r="CR86" s="401">
        <v>175.44779367780956</v>
      </c>
      <c r="CS86" s="401">
        <v>184.13353966048408</v>
      </c>
      <c r="CT86" s="401">
        <v>169.03928880430036</v>
      </c>
      <c r="CU86" s="401">
        <v>133.87216764208745</v>
      </c>
      <c r="CV86" s="401">
        <v>163.10800101826004</v>
      </c>
      <c r="CW86" s="401">
        <v>186.04659418562659</v>
      </c>
      <c r="CX86" s="401">
        <v>157.2975840278385</v>
      </c>
      <c r="CY86" s="401">
        <v>174.82603534684552</v>
      </c>
      <c r="CZ86" s="401">
        <v>155.96763615596086</v>
      </c>
      <c r="DA86" s="401">
        <v>146.15614718048442</v>
      </c>
      <c r="DB86" s="401">
        <v>160.45430329872474</v>
      </c>
      <c r="DC86" s="401">
        <v>150.18015020000001</v>
      </c>
      <c r="DD86" s="401">
        <v>146.18462542881335</v>
      </c>
      <c r="DE86" s="401">
        <v>155.63863294984546</v>
      </c>
      <c r="DF86" s="401">
        <v>187.56208213231827</v>
      </c>
      <c r="DG86" s="401">
        <v>140.48005161800108</v>
      </c>
      <c r="DH86" s="401">
        <v>167.01023725964745</v>
      </c>
      <c r="DI86" s="401">
        <v>191.31183740314967</v>
      </c>
      <c r="DJ86" s="401">
        <v>171.85925959106143</v>
      </c>
      <c r="DK86" s="365">
        <f t="shared" si="11"/>
        <v>160.08108671845315</v>
      </c>
      <c r="DL86" s="365">
        <f t="shared" si="12"/>
        <v>167.66534646796492</v>
      </c>
      <c r="DM86" s="400">
        <f t="shared" si="13"/>
        <v>4.7377612839740291</v>
      </c>
      <c r="DN86" s="346"/>
    </row>
    <row r="87" spans="1:118" ht="88.5">
      <c r="A87" s="327">
        <v>224.43879435204633</v>
      </c>
      <c r="B87" s="397" t="s">
        <v>96</v>
      </c>
      <c r="C87" s="327"/>
      <c r="D87" s="327"/>
      <c r="E87" s="327"/>
      <c r="F87" s="327"/>
      <c r="G87" s="327"/>
      <c r="H87" s="327"/>
      <c r="I87" s="327"/>
      <c r="J87" s="327"/>
      <c r="K87" s="327"/>
      <c r="L87" s="327"/>
      <c r="M87" s="327"/>
      <c r="N87" s="327"/>
      <c r="O87" s="327"/>
      <c r="P87" s="327"/>
      <c r="Q87" s="327"/>
      <c r="R87" s="327"/>
      <c r="S87" s="327"/>
      <c r="T87" s="327"/>
      <c r="U87" s="327"/>
      <c r="V87" s="327"/>
      <c r="W87" s="327"/>
      <c r="X87" s="327"/>
      <c r="Y87" s="327"/>
      <c r="Z87" s="327"/>
      <c r="AA87" s="396">
        <v>103.17130207296297</v>
      </c>
      <c r="AB87" s="395">
        <v>102.1805697997618</v>
      </c>
      <c r="AC87" s="395">
        <v>111.23556248671736</v>
      </c>
      <c r="AD87" s="395">
        <v>103.72479783043079</v>
      </c>
      <c r="AE87" s="395">
        <v>106.1102391206957</v>
      </c>
      <c r="AF87" s="393">
        <v>108.63814276538828</v>
      </c>
      <c r="AG87" s="389">
        <v>114.58540931103559</v>
      </c>
      <c r="AH87" s="394">
        <v>114.14462956870557</v>
      </c>
      <c r="AI87" s="393">
        <v>122.52326353260683</v>
      </c>
      <c r="AJ87" s="391">
        <v>98.566993825821257</v>
      </c>
      <c r="AK87" s="392">
        <v>102.5306997517024</v>
      </c>
      <c r="AL87" s="391">
        <v>122.9959005341228</v>
      </c>
      <c r="AM87" s="390">
        <v>102.05069239034383</v>
      </c>
      <c r="AN87" s="389">
        <v>105.64488416299868</v>
      </c>
      <c r="AO87" s="389">
        <v>111.23781246041651</v>
      </c>
      <c r="AP87" s="389">
        <v>111.43261724678617</v>
      </c>
      <c r="AQ87" s="389">
        <v>116.61107520805108</v>
      </c>
      <c r="AR87" s="389">
        <v>106.3726752747518</v>
      </c>
      <c r="AS87" s="387">
        <v>115.54115340327355</v>
      </c>
      <c r="AT87" s="388">
        <v>121.25302686786517</v>
      </c>
      <c r="AU87" s="387">
        <v>128.40340428415618</v>
      </c>
      <c r="AV87" s="386">
        <v>116.91953962918609</v>
      </c>
      <c r="AW87" s="385">
        <v>93.909513222153166</v>
      </c>
      <c r="AX87" s="385">
        <v>130.32162851132199</v>
      </c>
      <c r="AY87" s="384">
        <v>105.28631382675161</v>
      </c>
      <c r="AZ87" s="383">
        <v>101.13621790244011</v>
      </c>
      <c r="BA87" s="383">
        <v>119.0079734894985</v>
      </c>
      <c r="BB87" s="383">
        <v>107.20499125669096</v>
      </c>
      <c r="BC87" s="383">
        <v>111.72402011309725</v>
      </c>
      <c r="BD87" s="383">
        <v>111.72402011309725</v>
      </c>
      <c r="BE87" s="365">
        <v>130.18828984012018</v>
      </c>
      <c r="BF87" s="365">
        <v>144.92075486788551</v>
      </c>
      <c r="BG87" s="365">
        <v>117.30657322725544</v>
      </c>
      <c r="BH87" s="365">
        <v>106.40898683530499</v>
      </c>
      <c r="BI87" s="365">
        <v>123.55598589801768</v>
      </c>
      <c r="BJ87" s="365">
        <v>133.09514146388628</v>
      </c>
      <c r="BK87" s="365">
        <v>122.83224860317911</v>
      </c>
      <c r="BL87" s="365">
        <v>110.64101349343436</v>
      </c>
      <c r="BM87" s="365">
        <v>140.21300544765938</v>
      </c>
      <c r="BN87" s="365">
        <v>119.83097479877698</v>
      </c>
      <c r="BO87" s="365">
        <v>139.28756957301428</v>
      </c>
      <c r="BP87" s="365">
        <v>132.97584733530471</v>
      </c>
      <c r="BQ87" s="365">
        <v>129.22768850622913</v>
      </c>
      <c r="BR87" s="365">
        <v>147.28430804174013</v>
      </c>
      <c r="BS87" s="365">
        <v>114.03778142819594</v>
      </c>
      <c r="BT87" s="365">
        <v>125.36621284729037</v>
      </c>
      <c r="BU87" s="365">
        <v>130.77048406483911</v>
      </c>
      <c r="BV87" s="365">
        <v>154.07982045765647</v>
      </c>
      <c r="BW87" s="365">
        <v>122.28324091646775</v>
      </c>
      <c r="BX87" s="365">
        <v>139.79373544759267</v>
      </c>
      <c r="BY87" s="365">
        <v>142.34924856610604</v>
      </c>
      <c r="BZ87" s="365">
        <v>117.62508130292673</v>
      </c>
      <c r="CA87" s="365">
        <v>139.68815464724088</v>
      </c>
      <c r="CB87" s="365">
        <v>146.15959574799422</v>
      </c>
      <c r="CC87" s="365">
        <v>158.72239963874247</v>
      </c>
      <c r="CD87" s="365">
        <v>168.92034972032423</v>
      </c>
      <c r="CE87" s="365">
        <v>139.57576533540956</v>
      </c>
      <c r="CF87" s="365">
        <v>144.73019024487544</v>
      </c>
      <c r="CG87" s="365">
        <v>141.43874943505224</v>
      </c>
      <c r="CH87" s="365">
        <v>145.46175949936142</v>
      </c>
      <c r="CI87" s="365">
        <v>161.56748147868089</v>
      </c>
      <c r="CJ87" s="365">
        <v>134.66989794748483</v>
      </c>
      <c r="CK87" s="365">
        <v>138.23958147864462</v>
      </c>
      <c r="CL87" s="365">
        <v>127.48572700925588</v>
      </c>
      <c r="CM87" s="365">
        <v>123.25859668193161</v>
      </c>
      <c r="CN87" s="365">
        <v>154.89939767092218</v>
      </c>
      <c r="CO87" s="365">
        <v>157.97721692679374</v>
      </c>
      <c r="CP87" s="365">
        <v>127.89620204732508</v>
      </c>
      <c r="CQ87" s="365">
        <v>97.456110683978537</v>
      </c>
      <c r="CR87" s="365">
        <v>110.88122851714279</v>
      </c>
      <c r="CS87" s="365">
        <v>108.42434083382115</v>
      </c>
      <c r="CT87" s="365">
        <v>112.26256983511779</v>
      </c>
      <c r="CU87" s="365">
        <v>129.32105624446547</v>
      </c>
      <c r="CV87" s="365">
        <v>130.18006969010054</v>
      </c>
      <c r="CW87" s="365">
        <v>136.10907576601042</v>
      </c>
      <c r="CX87" s="365">
        <v>136.54685073514048</v>
      </c>
      <c r="CY87" s="365">
        <v>131.25567872544079</v>
      </c>
      <c r="CZ87" s="365">
        <v>148.73448218242777</v>
      </c>
      <c r="DA87" s="365">
        <v>134.97816161341558</v>
      </c>
      <c r="DB87" s="365">
        <v>126.12201099938311</v>
      </c>
      <c r="DC87" s="365">
        <v>118.42107424581771</v>
      </c>
      <c r="DD87" s="365">
        <v>111.27694764294426</v>
      </c>
      <c r="DE87" s="365">
        <v>118.40787286830528</v>
      </c>
      <c r="DF87" s="365">
        <v>140.52044717326726</v>
      </c>
      <c r="DG87" s="365">
        <v>124.87440914893119</v>
      </c>
      <c r="DH87" s="365">
        <v>122.19844019711999</v>
      </c>
      <c r="DI87" s="365">
        <v>141.11956596043007</v>
      </c>
      <c r="DJ87" s="365">
        <v>147.70624161481231</v>
      </c>
      <c r="DK87" s="365">
        <f t="shared" si="11"/>
        <v>133.03926310892922</v>
      </c>
      <c r="DL87" s="365">
        <f t="shared" si="12"/>
        <v>133.97466423032341</v>
      </c>
      <c r="DM87" s="382">
        <f t="shared" si="13"/>
        <v>0.70310155027566434</v>
      </c>
      <c r="DN87" s="346"/>
    </row>
    <row r="88" spans="1:118" ht="88.5" hidden="1">
      <c r="A88" s="327">
        <v>147.18071708247044</v>
      </c>
      <c r="B88" s="397" t="s">
        <v>95</v>
      </c>
      <c r="C88" s="327"/>
      <c r="D88" s="327"/>
      <c r="E88" s="327"/>
      <c r="F88" s="327"/>
      <c r="G88" s="327"/>
      <c r="H88" s="327"/>
      <c r="I88" s="327"/>
      <c r="J88" s="327"/>
      <c r="K88" s="327"/>
      <c r="L88" s="327"/>
      <c r="M88" s="327"/>
      <c r="N88" s="327"/>
      <c r="O88" s="327"/>
      <c r="P88" s="327"/>
      <c r="Q88" s="327"/>
      <c r="R88" s="327"/>
      <c r="S88" s="327"/>
      <c r="T88" s="327"/>
      <c r="U88" s="327"/>
      <c r="V88" s="327"/>
      <c r="W88" s="327"/>
      <c r="X88" s="327"/>
      <c r="Y88" s="327"/>
      <c r="Z88" s="327"/>
      <c r="AA88" s="396">
        <v>100.44063123863728</v>
      </c>
      <c r="AB88" s="395">
        <v>104.92006335228213</v>
      </c>
      <c r="AC88" s="395">
        <v>93.287338972314345</v>
      </c>
      <c r="AD88" s="395">
        <v>88.237631435615057</v>
      </c>
      <c r="AE88" s="395">
        <v>83.804799161757842</v>
      </c>
      <c r="AF88" s="393">
        <v>97.351915525448547</v>
      </c>
      <c r="AG88" s="389">
        <v>89.145587063513304</v>
      </c>
      <c r="AH88" s="394">
        <v>80.358741003325065</v>
      </c>
      <c r="AI88" s="393">
        <v>48.553255558237204</v>
      </c>
      <c r="AJ88" s="391">
        <v>195.77702781873327</v>
      </c>
      <c r="AK88" s="392">
        <v>182.33134755074843</v>
      </c>
      <c r="AL88" s="391">
        <v>76.509461986518701</v>
      </c>
      <c r="AM88" s="390">
        <v>76.325759920831899</v>
      </c>
      <c r="AN88" s="389">
        <v>47.011300199102742</v>
      </c>
      <c r="AO88" s="389">
        <v>39.977474965492888</v>
      </c>
      <c r="AP88" s="389">
        <v>47.451774201285666</v>
      </c>
      <c r="AQ88" s="389">
        <v>60.557370715250357</v>
      </c>
      <c r="AR88" s="389">
        <v>53.321917632073983</v>
      </c>
      <c r="AS88" s="387">
        <v>44.919982412513193</v>
      </c>
      <c r="AT88" s="388">
        <v>61.59864218865512</v>
      </c>
      <c r="AU88" s="387">
        <v>53.012710961821846</v>
      </c>
      <c r="AV88" s="386">
        <v>117.87041021205185</v>
      </c>
      <c r="AW88" s="385">
        <v>55.566444373316209</v>
      </c>
      <c r="AX88" s="385">
        <v>362.25241408689124</v>
      </c>
      <c r="AY88" s="384">
        <v>45.376651392120607</v>
      </c>
      <c r="AZ88" s="383">
        <v>55.862353355205819</v>
      </c>
      <c r="BA88" s="383">
        <v>95.002457154630775</v>
      </c>
      <c r="BB88" s="383">
        <v>97.903028917446036</v>
      </c>
      <c r="BC88" s="383">
        <v>137.95193897074003</v>
      </c>
      <c r="BD88" s="383">
        <v>137.95193897074003</v>
      </c>
      <c r="BE88" s="365">
        <v>49.542617128335387</v>
      </c>
      <c r="BF88" s="365">
        <v>34.50360268302299</v>
      </c>
      <c r="BG88" s="365">
        <v>31.575731048058437</v>
      </c>
      <c r="BH88" s="365">
        <v>23.661615376877268</v>
      </c>
      <c r="BI88" s="365">
        <v>22.890308793607232</v>
      </c>
      <c r="BJ88" s="365">
        <v>74.477356059371189</v>
      </c>
      <c r="BK88" s="365">
        <v>132.99281022360444</v>
      </c>
      <c r="BL88" s="365">
        <v>50.638523474144321</v>
      </c>
      <c r="BM88" s="365">
        <v>177.12410519356976</v>
      </c>
      <c r="BN88" s="365">
        <v>126.48095293931044</v>
      </c>
      <c r="BO88" s="365">
        <v>66.188024041425066</v>
      </c>
      <c r="BP88" s="365">
        <v>69.490601466240435</v>
      </c>
      <c r="BQ88" s="365">
        <v>54.587088184239178</v>
      </c>
      <c r="BR88" s="365">
        <v>43.317281933074341</v>
      </c>
      <c r="BS88" s="365">
        <v>56.44817825125152</v>
      </c>
      <c r="BT88" s="365">
        <v>211.08292834413933</v>
      </c>
      <c r="BU88" s="365">
        <v>15.009883094908387</v>
      </c>
      <c r="BV88" s="365">
        <v>42.062067150781246</v>
      </c>
      <c r="BW88" s="365">
        <v>89.603991093654358</v>
      </c>
      <c r="BX88" s="365">
        <v>148.24911203779789</v>
      </c>
      <c r="BY88" s="365">
        <v>223.18607124988083</v>
      </c>
      <c r="BZ88" s="365">
        <v>230.54178661513586</v>
      </c>
      <c r="CA88" s="365">
        <v>56.393488578359374</v>
      </c>
      <c r="CB88" s="365">
        <v>68.020512900246118</v>
      </c>
      <c r="CC88" s="365">
        <v>83.329585537841879</v>
      </c>
      <c r="CD88" s="365">
        <v>63.465450535240443</v>
      </c>
      <c r="CE88" s="365">
        <v>40.831110869258573</v>
      </c>
      <c r="CF88" s="365">
        <v>48.695986068688853</v>
      </c>
      <c r="CG88" s="365">
        <v>98.381428998513925</v>
      </c>
      <c r="CH88" s="365">
        <v>63.402452895949729</v>
      </c>
      <c r="CI88" s="365">
        <v>83.201266870364805</v>
      </c>
      <c r="CJ88" s="365">
        <v>133.99407468496744</v>
      </c>
      <c r="CK88" s="365">
        <v>172.42138935386728</v>
      </c>
      <c r="CL88" s="365">
        <v>112.86252005036449</v>
      </c>
      <c r="CM88" s="365">
        <v>323.78521743227856</v>
      </c>
      <c r="CN88" s="365">
        <v>134.09598701216487</v>
      </c>
      <c r="CO88" s="365">
        <v>84.28457351532478</v>
      </c>
      <c r="CP88" s="365">
        <v>64.634148290657649</v>
      </c>
      <c r="CQ88" s="365">
        <v>39.911494626886586</v>
      </c>
      <c r="CR88" s="365">
        <v>210.97410635750089</v>
      </c>
      <c r="CS88" s="365">
        <v>27.829380202048846</v>
      </c>
      <c r="CT88" s="365">
        <v>52.850696901375706</v>
      </c>
      <c r="CU88" s="365">
        <v>94.752773665195804</v>
      </c>
      <c r="CV88" s="365">
        <v>182.0178176563567</v>
      </c>
      <c r="CW88" s="365">
        <v>162.10043752934783</v>
      </c>
      <c r="CX88" s="365">
        <v>224.84592086350332</v>
      </c>
      <c r="CY88" s="365">
        <v>66.076417518014765</v>
      </c>
      <c r="CZ88" s="365">
        <v>59.346943301741177</v>
      </c>
      <c r="DA88" s="365">
        <v>51.037848150954659</v>
      </c>
      <c r="DB88" s="365">
        <v>40.166180376752536</v>
      </c>
      <c r="DC88" s="365">
        <v>6.1184893964958311</v>
      </c>
      <c r="DD88" s="365">
        <v>29.709694585016219</v>
      </c>
      <c r="DE88" s="365">
        <v>10.450977530828405</v>
      </c>
      <c r="DF88" s="365">
        <v>0.15307235419403994</v>
      </c>
      <c r="DG88" s="365">
        <v>60.745844518216089</v>
      </c>
      <c r="DH88" s="365">
        <v>125.38863950296633</v>
      </c>
      <c r="DI88" s="365">
        <v>152.65903757181221</v>
      </c>
      <c r="DJ88" s="365">
        <v>213.21748725607233</v>
      </c>
      <c r="DK88" s="365">
        <f t="shared" si="11"/>
        <v>165.92923742860091</v>
      </c>
      <c r="DL88" s="365">
        <f t="shared" si="12"/>
        <v>138.00275221226673</v>
      </c>
      <c r="DM88" s="382">
        <f t="shared" si="13"/>
        <v>-16.830358319672811</v>
      </c>
      <c r="DN88" s="346"/>
    </row>
    <row r="89" spans="1:118" ht="88.5" hidden="1">
      <c r="A89" s="327">
        <v>173.74037608906661</v>
      </c>
      <c r="B89" s="397" t="s">
        <v>94</v>
      </c>
      <c r="C89" s="327"/>
      <c r="D89" s="327"/>
      <c r="E89" s="327"/>
      <c r="F89" s="327"/>
      <c r="G89" s="327"/>
      <c r="H89" s="327"/>
      <c r="I89" s="327"/>
      <c r="J89" s="327"/>
      <c r="K89" s="327"/>
      <c r="L89" s="327"/>
      <c r="M89" s="327"/>
      <c r="N89" s="327"/>
      <c r="O89" s="327"/>
      <c r="P89" s="327"/>
      <c r="Q89" s="327"/>
      <c r="R89" s="327"/>
      <c r="S89" s="327"/>
      <c r="T89" s="327"/>
      <c r="U89" s="327"/>
      <c r="V89" s="327"/>
      <c r="W89" s="327"/>
      <c r="X89" s="327"/>
      <c r="Y89" s="327"/>
      <c r="Z89" s="327"/>
      <c r="AA89" s="396">
        <v>162.05955048088859</v>
      </c>
      <c r="AB89" s="395">
        <v>83.395757637617635</v>
      </c>
      <c r="AC89" s="395">
        <v>83.395757637617635</v>
      </c>
      <c r="AD89" s="395">
        <v>131.81191977341916</v>
      </c>
      <c r="AE89" s="395">
        <v>84.617270063581302</v>
      </c>
      <c r="AF89" s="393">
        <v>112.01978287313293</v>
      </c>
      <c r="AG89" s="389">
        <v>91.639059630078975</v>
      </c>
      <c r="AH89" s="394">
        <v>160.65908108603244</v>
      </c>
      <c r="AI89" s="393">
        <v>151.38853754220352</v>
      </c>
      <c r="AJ89" s="391">
        <v>172.74612795438841</v>
      </c>
      <c r="AK89" s="392">
        <v>141.49583073608864</v>
      </c>
      <c r="AL89" s="391">
        <v>86.977804001816025</v>
      </c>
      <c r="AM89" s="390">
        <v>98.254982918480223</v>
      </c>
      <c r="AN89" s="389">
        <v>92.763497018803704</v>
      </c>
      <c r="AO89" s="389">
        <v>95.776493877833275</v>
      </c>
      <c r="AP89" s="389">
        <v>59.127650897590222</v>
      </c>
      <c r="AQ89" s="389">
        <v>86.841464878741377</v>
      </c>
      <c r="AR89" s="389">
        <v>105.50716880790259</v>
      </c>
      <c r="AS89" s="387">
        <v>86.085358569951694</v>
      </c>
      <c r="AT89" s="388">
        <v>70.985930985436966</v>
      </c>
      <c r="AU89" s="387">
        <v>62.136022170651174</v>
      </c>
      <c r="AV89" s="386">
        <v>72.724435226464863</v>
      </c>
      <c r="AW89" s="385">
        <v>48.331601430393263</v>
      </c>
      <c r="AX89" s="385">
        <v>72.199840164786934</v>
      </c>
      <c r="AY89" s="384">
        <v>66.493775908176275</v>
      </c>
      <c r="AZ89" s="383">
        <v>60.335933531229408</v>
      </c>
      <c r="BA89" s="383">
        <v>59.626993753120004</v>
      </c>
      <c r="BB89" s="383">
        <v>90.008662777289445</v>
      </c>
      <c r="BC89" s="383">
        <v>82.534501675441987</v>
      </c>
      <c r="BD89" s="383">
        <v>82.534501675441987</v>
      </c>
      <c r="BE89" s="365">
        <v>63.476316605605717</v>
      </c>
      <c r="BF89" s="365">
        <v>121.01554869147455</v>
      </c>
      <c r="BG89" s="365">
        <v>103.32577117069452</v>
      </c>
      <c r="BH89" s="365">
        <v>147.46905317159252</v>
      </c>
      <c r="BI89" s="365">
        <v>149.07321709562493</v>
      </c>
      <c r="BJ89" s="365">
        <v>149.20220889398576</v>
      </c>
      <c r="BK89" s="365">
        <v>124.4228760538132</v>
      </c>
      <c r="BL89" s="365">
        <v>164.73636403576398</v>
      </c>
      <c r="BM89" s="365">
        <v>152.9334116474065</v>
      </c>
      <c r="BN89" s="365">
        <v>91.537125812828833</v>
      </c>
      <c r="BO89" s="365">
        <v>134.65960416144108</v>
      </c>
      <c r="BP89" s="365">
        <v>113.17915567029819</v>
      </c>
      <c r="BQ89" s="365">
        <v>123.13694229935032</v>
      </c>
      <c r="BR89" s="365">
        <v>118.22309481228496</v>
      </c>
      <c r="BS89" s="365">
        <v>204.0415821189151</v>
      </c>
      <c r="BT89" s="365">
        <v>191.3457475840224</v>
      </c>
      <c r="BU89" s="365">
        <v>201.42837157576179</v>
      </c>
      <c r="BV89" s="365">
        <v>173.71142718082646</v>
      </c>
      <c r="BW89" s="365">
        <v>154.79175269100779</v>
      </c>
      <c r="BX89" s="365">
        <v>135.67509048271097</v>
      </c>
      <c r="BY89" s="365">
        <v>170.39129497224653</v>
      </c>
      <c r="BZ89" s="365">
        <v>114.76171941237392</v>
      </c>
      <c r="CA89" s="365">
        <v>148.41258522250831</v>
      </c>
      <c r="CB89" s="365">
        <v>159.90107746817009</v>
      </c>
      <c r="CC89" s="365">
        <v>188.1965770204605</v>
      </c>
      <c r="CD89" s="365">
        <v>154.18706562234081</v>
      </c>
      <c r="CE89" s="365">
        <v>163.81711903541293</v>
      </c>
      <c r="CF89" s="365">
        <v>173.35295396043242</v>
      </c>
      <c r="CG89" s="365">
        <v>240.63709079441571</v>
      </c>
      <c r="CH89" s="365">
        <v>149.21753058320215</v>
      </c>
      <c r="CI89" s="365">
        <v>146.99193193367896</v>
      </c>
      <c r="CJ89" s="365">
        <v>134.02810410857742</v>
      </c>
      <c r="CK89" s="365">
        <v>75.67602701923478</v>
      </c>
      <c r="CL89" s="365">
        <v>61.479490029380464</v>
      </c>
      <c r="CM89" s="365">
        <v>92.868319453312836</v>
      </c>
      <c r="CN89" s="365">
        <v>121.70043367904027</v>
      </c>
      <c r="CO89" s="365">
        <v>110.09718848193756</v>
      </c>
      <c r="CP89" s="365">
        <v>105.88104174892948</v>
      </c>
      <c r="CQ89" s="365">
        <v>172.39689169931989</v>
      </c>
      <c r="CR89" s="365">
        <v>172.39689169931989</v>
      </c>
      <c r="CS89" s="365">
        <v>305.36357155917045</v>
      </c>
      <c r="CT89" s="365">
        <v>179.10853163249359</v>
      </c>
      <c r="CU89" s="365">
        <v>242.82018336936443</v>
      </c>
      <c r="CV89" s="365">
        <v>162.03443495322466</v>
      </c>
      <c r="CW89" s="365">
        <v>164.6016018523764</v>
      </c>
      <c r="CX89" s="365">
        <v>167.90453425072721</v>
      </c>
      <c r="CY89" s="365">
        <v>118.30703382311074</v>
      </c>
      <c r="CZ89" s="365">
        <v>143.50509816778404</v>
      </c>
      <c r="DA89" s="365">
        <v>178.50348711685226</v>
      </c>
      <c r="DB89" s="365">
        <v>122.42931388284345</v>
      </c>
      <c r="DC89" s="365">
        <v>177.68042547451728</v>
      </c>
      <c r="DD89" s="365">
        <v>158.55367450667345</v>
      </c>
      <c r="DE89" s="365">
        <v>117.54400236733984</v>
      </c>
      <c r="DF89" s="365">
        <v>187.95241569705533</v>
      </c>
      <c r="DG89" s="365">
        <v>139.2114958311642</v>
      </c>
      <c r="DH89" s="365">
        <v>121.32915949725684</v>
      </c>
      <c r="DI89" s="365">
        <v>172.73576654218974</v>
      </c>
      <c r="DJ89" s="365">
        <v>86.939883972965347</v>
      </c>
      <c r="DK89" s="365">
        <f t="shared" si="11"/>
        <v>184.34018860642317</v>
      </c>
      <c r="DL89" s="365">
        <f t="shared" si="12"/>
        <v>130.05407646089404</v>
      </c>
      <c r="DM89" s="382">
        <f t="shared" si="13"/>
        <v>-29.448875232211613</v>
      </c>
      <c r="DN89" s="346"/>
    </row>
    <row r="90" spans="1:118" ht="88.5">
      <c r="B90" s="397" t="s">
        <v>93</v>
      </c>
      <c r="C90" s="327"/>
      <c r="D90" s="327"/>
      <c r="E90" s="327"/>
      <c r="F90" s="327"/>
      <c r="G90" s="327"/>
      <c r="H90" s="327"/>
      <c r="I90" s="327"/>
      <c r="J90" s="327"/>
      <c r="K90" s="327"/>
      <c r="L90" s="327"/>
      <c r="M90" s="327"/>
      <c r="N90" s="327"/>
      <c r="O90" s="327"/>
      <c r="P90" s="327"/>
      <c r="Q90" s="327"/>
      <c r="R90" s="327"/>
      <c r="S90" s="327"/>
      <c r="T90" s="327"/>
      <c r="U90" s="327"/>
      <c r="V90" s="327"/>
      <c r="W90" s="327"/>
      <c r="X90" s="327"/>
      <c r="Y90" s="327"/>
      <c r="Z90" s="327"/>
      <c r="AA90" s="396">
        <v>106.47441649639821</v>
      </c>
      <c r="AB90" s="395">
        <v>102.81238213843135</v>
      </c>
      <c r="AC90" s="395">
        <v>92.318745586270154</v>
      </c>
      <c r="AD90" s="395">
        <v>92.504468663908838</v>
      </c>
      <c r="AE90" s="395">
        <v>83.884357112628564</v>
      </c>
      <c r="AF90" s="393">
        <v>98.788207541822729</v>
      </c>
      <c r="AG90" s="389">
        <v>89.389750352934627</v>
      </c>
      <c r="AH90" s="394">
        <v>88.221829388231399</v>
      </c>
      <c r="AI90" s="393">
        <v>58.622987647713458</v>
      </c>
      <c r="AJ90" s="391">
        <v>193.52181942197245</v>
      </c>
      <c r="AK90" s="392">
        <v>178.33269352728746</v>
      </c>
      <c r="AL90" s="391">
        <v>77.534532346431632</v>
      </c>
      <c r="AM90" s="390">
        <v>78.47309103381636</v>
      </c>
      <c r="AN90" s="389">
        <v>51.491400370862948</v>
      </c>
      <c r="AO90" s="389">
        <v>45.441369851204321</v>
      </c>
      <c r="AP90" s="389">
        <v>48.595087546406631</v>
      </c>
      <c r="AQ90" s="389">
        <v>63.131135101700799</v>
      </c>
      <c r="AR90" s="389">
        <v>58.431948821997231</v>
      </c>
      <c r="AS90" s="387">
        <v>48.950936587681888</v>
      </c>
      <c r="AT90" s="388">
        <v>62.517854752732823</v>
      </c>
      <c r="AU90" s="387">
        <v>53.906074580508189</v>
      </c>
      <c r="AV90" s="386">
        <v>113.44967187932731</v>
      </c>
      <c r="AW90" s="385">
        <v>54.858001427090507</v>
      </c>
      <c r="AX90" s="385">
        <v>333.85018038937494</v>
      </c>
      <c r="AY90" s="384">
        <v>47.444461021990108</v>
      </c>
      <c r="AZ90" s="383">
        <v>56.300410731859614</v>
      </c>
      <c r="BA90" s="383">
        <v>91.538456938733788</v>
      </c>
      <c r="BB90" s="383">
        <v>97.130004810214004</v>
      </c>
      <c r="BC90" s="383">
        <v>132.52540893277109</v>
      </c>
      <c r="BD90" s="383">
        <v>132.52540893277109</v>
      </c>
      <c r="BE90" s="365">
        <v>50.907018703791408</v>
      </c>
      <c r="BF90" s="365">
        <v>42.974937637695149</v>
      </c>
      <c r="BG90" s="365">
        <v>38.601565640088509</v>
      </c>
      <c r="BH90" s="365">
        <v>35.784961617826575</v>
      </c>
      <c r="BI90" s="365">
        <v>35.24626344612016</v>
      </c>
      <c r="BJ90" s="365">
        <v>81.794487241910559</v>
      </c>
      <c r="BK90" s="365">
        <v>132.15363382957557</v>
      </c>
      <c r="BL90" s="365">
        <v>61.811096391505743</v>
      </c>
      <c r="BM90" s="365">
        <v>174.75532865725933</v>
      </c>
      <c r="BN90" s="365">
        <v>123.05921897256246</v>
      </c>
      <c r="BO90" s="365">
        <v>72.89282860119836</v>
      </c>
      <c r="BP90" s="365">
        <v>73.768627720692834</v>
      </c>
      <c r="BQ90" s="365">
        <v>61.299557410700544</v>
      </c>
      <c r="BR90" s="365">
        <v>50.652132901399547</v>
      </c>
      <c r="BS90" s="365">
        <v>70.900669715737109</v>
      </c>
      <c r="BT90" s="365">
        <v>209.1502441658927</v>
      </c>
      <c r="BU90" s="365">
        <v>33.264165081707361</v>
      </c>
      <c r="BV90" s="365">
        <v>54.953302140152431</v>
      </c>
      <c r="BW90" s="365">
        <v>95.987240909610946</v>
      </c>
      <c r="BX90" s="365">
        <v>147.01785146356454</v>
      </c>
      <c r="BY90" s="365">
        <v>218.01635476169631</v>
      </c>
      <c r="BZ90" s="365">
        <v>219.20448840832833</v>
      </c>
      <c r="CA90" s="365">
        <v>65.404089147011263</v>
      </c>
      <c r="CB90" s="365">
        <v>77.307164959547023</v>
      </c>
      <c r="CC90" s="365">
        <v>93.598264622360773</v>
      </c>
      <c r="CD90" s="365">
        <v>72.349000431997894</v>
      </c>
      <c r="CE90" s="365">
        <v>52.874021911992003</v>
      </c>
      <c r="CF90" s="365">
        <v>59.555181705320265</v>
      </c>
      <c r="CG90" s="365">
        <v>110.77369304910204</v>
      </c>
      <c r="CH90" s="365">
        <v>70.878029535900382</v>
      </c>
      <c r="CI90" s="365">
        <v>88.758239123331322</v>
      </c>
      <c r="CJ90" s="365">
        <v>133.9970390773687</v>
      </c>
      <c r="CK90" s="365">
        <v>163.99364693163122</v>
      </c>
      <c r="CL90" s="365">
        <v>108.38640944990983</v>
      </c>
      <c r="CM90" s="365">
        <v>303.66944040539539</v>
      </c>
      <c r="CN90" s="365">
        <v>133.01617782905046</v>
      </c>
      <c r="CO90" s="365">
        <v>86.533178150557958</v>
      </c>
      <c r="CP90" s="365">
        <v>68.227273432732702</v>
      </c>
      <c r="CQ90" s="365">
        <v>51.452645275246255</v>
      </c>
      <c r="CR90" s="365">
        <v>207.6135439423031</v>
      </c>
      <c r="CS90" s="365">
        <v>52.00611200270172</v>
      </c>
      <c r="CT90" s="365">
        <v>63.849348249877607</v>
      </c>
      <c r="CU90" s="365">
        <v>107.65131432906927</v>
      </c>
      <c r="CV90" s="365">
        <v>180.27701274247943</v>
      </c>
      <c r="CW90" s="365">
        <v>162.31832051786009</v>
      </c>
      <c r="CX90" s="365">
        <v>219.88560723236969</v>
      </c>
      <c r="CY90" s="365">
        <v>70.626363584177938</v>
      </c>
      <c r="CZ90" s="365">
        <v>66.678181046124109</v>
      </c>
      <c r="DA90" s="365">
        <v>62.141714496243708</v>
      </c>
      <c r="DB90" s="365">
        <v>47.332337836965685</v>
      </c>
      <c r="DC90" s="365">
        <v>21.063699914438175</v>
      </c>
      <c r="DD90" s="365">
        <v>40.933631828432468</v>
      </c>
      <c r="DE90" s="365">
        <v>19.780131991157049</v>
      </c>
      <c r="DF90" s="365">
        <v>16.512766034230321</v>
      </c>
      <c r="DG90" s="365">
        <v>67.581193338050838</v>
      </c>
      <c r="DH90" s="365">
        <v>125.03500754551909</v>
      </c>
      <c r="DI90" s="365">
        <v>154.40797412401753</v>
      </c>
      <c r="DJ90" s="365">
        <v>202.21711381712385</v>
      </c>
      <c r="DK90" s="365">
        <f t="shared" si="11"/>
        <v>167.53306370544462</v>
      </c>
      <c r="DL90" s="365">
        <f t="shared" si="12"/>
        <v>137.31032220617783</v>
      </c>
      <c r="DM90" s="382">
        <f t="shared" si="13"/>
        <v>-18.039866776628756</v>
      </c>
      <c r="DN90" s="346"/>
    </row>
    <row r="91" spans="1:118" ht="88.5">
      <c r="A91" s="327">
        <v>172.1607112128018</v>
      </c>
      <c r="B91" s="397" t="s">
        <v>92</v>
      </c>
      <c r="C91" s="327"/>
      <c r="D91" s="327"/>
      <c r="E91" s="327"/>
      <c r="F91" s="327"/>
      <c r="G91" s="327"/>
      <c r="H91" s="327"/>
      <c r="I91" s="327"/>
      <c r="J91" s="327"/>
      <c r="K91" s="327"/>
      <c r="L91" s="327"/>
      <c r="M91" s="327"/>
      <c r="N91" s="327"/>
      <c r="O91" s="327"/>
      <c r="P91" s="327"/>
      <c r="Q91" s="327"/>
      <c r="R91" s="327"/>
      <c r="S91" s="327"/>
      <c r="T91" s="327"/>
      <c r="U91" s="327"/>
      <c r="V91" s="327"/>
      <c r="W91" s="327"/>
      <c r="X91" s="327"/>
      <c r="Y91" s="327"/>
      <c r="Z91" s="327"/>
      <c r="AA91" s="396">
        <v>155.36252010134905</v>
      </c>
      <c r="AB91" s="395">
        <v>140.9969618567236</v>
      </c>
      <c r="AC91" s="395">
        <v>127.21598214058449</v>
      </c>
      <c r="AD91" s="395">
        <v>190.22084233423317</v>
      </c>
      <c r="AE91" s="395">
        <v>197.47293561662516</v>
      </c>
      <c r="AF91" s="393">
        <v>199.07939360403725</v>
      </c>
      <c r="AG91" s="389">
        <v>183.052507113518</v>
      </c>
      <c r="AH91" s="394">
        <v>144.6070252415316</v>
      </c>
      <c r="AI91" s="393">
        <v>125.45325926969794</v>
      </c>
      <c r="AJ91" s="391">
        <v>173.43270754331027</v>
      </c>
      <c r="AK91" s="392">
        <v>167.88989782047432</v>
      </c>
      <c r="AL91" s="391">
        <v>179.41671200210567</v>
      </c>
      <c r="AM91" s="390">
        <v>128.83478911588176</v>
      </c>
      <c r="AN91" s="389">
        <v>183.80613498543977</v>
      </c>
      <c r="AO91" s="389">
        <v>124.57828142281301</v>
      </c>
      <c r="AP91" s="389">
        <v>144.57266878209126</v>
      </c>
      <c r="AQ91" s="389">
        <v>146.42355642696444</v>
      </c>
      <c r="AR91" s="389">
        <v>171.02764837738579</v>
      </c>
      <c r="AS91" s="387">
        <v>150.19862300520145</v>
      </c>
      <c r="AT91" s="388">
        <v>99.798919268109515</v>
      </c>
      <c r="AU91" s="387">
        <v>111.42465847235994</v>
      </c>
      <c r="AV91" s="386">
        <v>163.0172831056739</v>
      </c>
      <c r="AW91" s="385">
        <v>172.31958786019226</v>
      </c>
      <c r="AX91" s="385">
        <v>191.11637631137052</v>
      </c>
      <c r="AY91" s="384">
        <v>136.47453318251712</v>
      </c>
      <c r="AZ91" s="383">
        <v>136.31178357309489</v>
      </c>
      <c r="BA91" s="383">
        <v>154.64695656391916</v>
      </c>
      <c r="BB91" s="383">
        <v>188.28750308085577</v>
      </c>
      <c r="BC91" s="383">
        <v>184.46519940387279</v>
      </c>
      <c r="BD91" s="383">
        <v>184.46519940387279</v>
      </c>
      <c r="BE91" s="365">
        <v>165.83712951664748</v>
      </c>
      <c r="BF91" s="365">
        <v>142.14782284364117</v>
      </c>
      <c r="BG91" s="365">
        <v>123.1766622134901</v>
      </c>
      <c r="BH91" s="365">
        <v>169.79914435327211</v>
      </c>
      <c r="BI91" s="365">
        <v>430.16568061969895</v>
      </c>
      <c r="BJ91" s="365">
        <v>195.50977019039621</v>
      </c>
      <c r="BK91" s="365">
        <v>188.81270098625296</v>
      </c>
      <c r="BL91" s="365">
        <v>192.23805924026757</v>
      </c>
      <c r="BM91" s="365">
        <v>271.63734904331989</v>
      </c>
      <c r="BN91" s="365">
        <v>230.10116193665135</v>
      </c>
      <c r="BO91" s="365">
        <v>230.06577449385622</v>
      </c>
      <c r="BP91" s="365">
        <v>234.42531316412055</v>
      </c>
      <c r="BQ91" s="365">
        <v>262.23069588564181</v>
      </c>
      <c r="BR91" s="365">
        <v>192.02852636178162</v>
      </c>
      <c r="BS91" s="365">
        <v>176.37510212581873</v>
      </c>
      <c r="BT91" s="365">
        <v>201.94857761878731</v>
      </c>
      <c r="BU91" s="365">
        <v>202.19242773293021</v>
      </c>
      <c r="BV91" s="365">
        <v>204.03880938875724</v>
      </c>
      <c r="BW91" s="365">
        <v>220.44197456163192</v>
      </c>
      <c r="BX91" s="365">
        <v>190.99469769461962</v>
      </c>
      <c r="BY91" s="365">
        <v>224.43879435204633</v>
      </c>
      <c r="BZ91" s="365">
        <v>224.65787940201179</v>
      </c>
      <c r="CA91" s="365">
        <v>245.16693116643432</v>
      </c>
      <c r="CB91" s="365">
        <v>263.20352773171925</v>
      </c>
      <c r="CC91" s="365">
        <v>208.36764580757946</v>
      </c>
      <c r="CD91" s="365">
        <v>153.15087326280863</v>
      </c>
      <c r="CE91" s="365">
        <v>162.6448822800632</v>
      </c>
      <c r="CF91" s="365">
        <v>187.26335832134072</v>
      </c>
      <c r="CG91" s="365">
        <v>195.86585003883403</v>
      </c>
      <c r="CH91" s="365">
        <v>183.26006827137471</v>
      </c>
      <c r="CI91" s="365">
        <v>194.46778596793237</v>
      </c>
      <c r="CJ91" s="365">
        <v>204.48216578850833</v>
      </c>
      <c r="CK91" s="365">
        <v>281.69187939112157</v>
      </c>
      <c r="CL91" s="365">
        <v>224.53318481681316</v>
      </c>
      <c r="CM91" s="365">
        <v>215.78293722637753</v>
      </c>
      <c r="CN91" s="365">
        <v>197.14586725844566</v>
      </c>
      <c r="CO91" s="365">
        <v>166.43445980039655</v>
      </c>
      <c r="CP91" s="365">
        <v>147.63837204166063</v>
      </c>
      <c r="CQ91" s="365">
        <v>147.91598330799758</v>
      </c>
      <c r="CR91" s="365">
        <v>133.45079723961015</v>
      </c>
      <c r="CS91" s="365">
        <v>136.29270382390217</v>
      </c>
      <c r="CT91" s="365">
        <v>146.00687810671309</v>
      </c>
      <c r="CU91" s="365">
        <v>150.14436511486625</v>
      </c>
      <c r="CV91" s="365">
        <v>126.23683910019626</v>
      </c>
      <c r="CW91" s="365">
        <v>125.53658519630071</v>
      </c>
      <c r="CX91" s="365">
        <v>176.84703569229239</v>
      </c>
      <c r="CY91" s="365">
        <v>170.99144369529699</v>
      </c>
      <c r="CZ91" s="365">
        <v>170.11456922929881</v>
      </c>
      <c r="DA91" s="365">
        <v>122.24453430278423</v>
      </c>
      <c r="DB91" s="365">
        <v>130.93271301191001</v>
      </c>
      <c r="DC91" s="365">
        <v>118.9494921586512</v>
      </c>
      <c r="DD91" s="365">
        <v>110.62902673434036</v>
      </c>
      <c r="DE91" s="365">
        <v>155.89829243820239</v>
      </c>
      <c r="DF91" s="365">
        <v>154.05170156462128</v>
      </c>
      <c r="DG91" s="365">
        <v>98.704507665876065</v>
      </c>
      <c r="DH91" s="365">
        <v>110.4641703623256</v>
      </c>
      <c r="DI91" s="365">
        <v>98.184462059710128</v>
      </c>
      <c r="DJ91" s="365">
        <v>113.54328526107889</v>
      </c>
      <c r="DK91" s="365">
        <f t="shared" si="11"/>
        <v>144.69120627591388</v>
      </c>
      <c r="DL91" s="365">
        <f t="shared" si="12"/>
        <v>105.22410633724768</v>
      </c>
      <c r="DM91" s="382">
        <f t="shared" si="13"/>
        <v>-27.276778564832604</v>
      </c>
      <c r="DN91" s="346"/>
    </row>
    <row r="92" spans="1:118" ht="88.5">
      <c r="A92" s="327">
        <v>128.74882331975169</v>
      </c>
      <c r="B92" s="397" t="s">
        <v>91</v>
      </c>
      <c r="C92" s="327"/>
      <c r="D92" s="327"/>
      <c r="E92" s="327"/>
      <c r="F92" s="327"/>
      <c r="G92" s="327"/>
      <c r="H92" s="327"/>
      <c r="I92" s="327"/>
      <c r="J92" s="327"/>
      <c r="K92" s="327"/>
      <c r="L92" s="327"/>
      <c r="M92" s="327"/>
      <c r="N92" s="327"/>
      <c r="O92" s="327"/>
      <c r="P92" s="327"/>
      <c r="Q92" s="327"/>
      <c r="R92" s="327"/>
      <c r="S92" s="327"/>
      <c r="T92" s="327"/>
      <c r="U92" s="327"/>
      <c r="V92" s="327"/>
      <c r="W92" s="327"/>
      <c r="X92" s="327"/>
      <c r="Y92" s="327"/>
      <c r="Z92" s="327"/>
      <c r="AA92" s="396">
        <v>115.59075397356948</v>
      </c>
      <c r="AB92" s="395">
        <v>107.79491189903915</v>
      </c>
      <c r="AC92" s="395">
        <v>104.03030147465201</v>
      </c>
      <c r="AD92" s="395">
        <v>115.59617453277629</v>
      </c>
      <c r="AE92" s="395">
        <v>102.66995540034645</v>
      </c>
      <c r="AF92" s="393">
        <v>121.31499365428141</v>
      </c>
      <c r="AG92" s="389">
        <v>120.30132167507323</v>
      </c>
      <c r="AH92" s="394">
        <v>108.74520087488227</v>
      </c>
      <c r="AI92" s="393">
        <v>102.93557865712165</v>
      </c>
      <c r="AJ92" s="391">
        <v>134.58524316025895</v>
      </c>
      <c r="AK92" s="392">
        <v>152.79743379455209</v>
      </c>
      <c r="AL92" s="391">
        <v>148.40769037804185</v>
      </c>
      <c r="AM92" s="390">
        <v>152.08901677318556</v>
      </c>
      <c r="AN92" s="389">
        <v>126.99756666655841</v>
      </c>
      <c r="AO92" s="389">
        <v>136.42093225547478</v>
      </c>
      <c r="AP92" s="389">
        <v>135.57570036636935</v>
      </c>
      <c r="AQ92" s="389">
        <v>121.09135093267825</v>
      </c>
      <c r="AR92" s="389">
        <v>123.34968542490577</v>
      </c>
      <c r="AS92" s="387">
        <v>129.39838926274166</v>
      </c>
      <c r="AT92" s="388">
        <v>130.90206529780366</v>
      </c>
      <c r="AU92" s="387">
        <v>93.810783070975276</v>
      </c>
      <c r="AV92" s="386">
        <v>140.49887055533389</v>
      </c>
      <c r="AW92" s="385">
        <v>124.89143727662633</v>
      </c>
      <c r="AX92" s="385">
        <v>149.42987048676997</v>
      </c>
      <c r="AY92" s="384">
        <v>129.74426798137918</v>
      </c>
      <c r="AZ92" s="383">
        <v>130.86209245057054</v>
      </c>
      <c r="BA92" s="383">
        <v>134.43143736409365</v>
      </c>
      <c r="BB92" s="383">
        <v>131.68866153445569</v>
      </c>
      <c r="BC92" s="383">
        <v>121.98223479264425</v>
      </c>
      <c r="BD92" s="383">
        <v>121.98223479264425</v>
      </c>
      <c r="BE92" s="365">
        <v>127.44365034708315</v>
      </c>
      <c r="BF92" s="365">
        <v>133.62195269803644</v>
      </c>
      <c r="BG92" s="365">
        <v>105.11355068109097</v>
      </c>
      <c r="BH92" s="365">
        <v>120.21427419162669</v>
      </c>
      <c r="BI92" s="365">
        <v>149.57913820952092</v>
      </c>
      <c r="BJ92" s="365">
        <v>153.19219439118967</v>
      </c>
      <c r="BK92" s="365">
        <v>137.74891284006256</v>
      </c>
      <c r="BL92" s="365">
        <v>138.67390610778779</v>
      </c>
      <c r="BM92" s="365">
        <v>166.09789760070643</v>
      </c>
      <c r="BN92" s="365">
        <v>137.79681338697139</v>
      </c>
      <c r="BO92" s="365">
        <v>152.46545115626029</v>
      </c>
      <c r="BP92" s="365">
        <v>137.74104531575765</v>
      </c>
      <c r="BQ92" s="365">
        <v>135.94780678051558</v>
      </c>
      <c r="BR92" s="365">
        <v>155.07659447284658</v>
      </c>
      <c r="BS92" s="365">
        <v>124.94721129017226</v>
      </c>
      <c r="BT92" s="365">
        <v>138.38336796793115</v>
      </c>
      <c r="BU92" s="365">
        <v>146.18167925502652</v>
      </c>
      <c r="BV92" s="365">
        <v>131.85954943687676</v>
      </c>
      <c r="BW92" s="365">
        <v>136.89758750210646</v>
      </c>
      <c r="BX92" s="365">
        <v>136.70885847603964</v>
      </c>
      <c r="BY92" s="365">
        <v>147.18071708247044</v>
      </c>
      <c r="BZ92" s="365">
        <v>140.95922196758031</v>
      </c>
      <c r="CA92" s="365">
        <v>145.00766541817586</v>
      </c>
      <c r="CB92" s="365">
        <v>59.812694870636285</v>
      </c>
      <c r="CC92" s="365">
        <v>159.68923890351925</v>
      </c>
      <c r="CD92" s="365">
        <v>133.72412812653963</v>
      </c>
      <c r="CE92" s="365">
        <v>123.59238887080984</v>
      </c>
      <c r="CF92" s="365">
        <v>145.17361913119257</v>
      </c>
      <c r="CG92" s="365">
        <v>132.58500977170181</v>
      </c>
      <c r="CH92" s="365">
        <v>174.4628443662356</v>
      </c>
      <c r="CI92" s="365">
        <v>136.05348356188532</v>
      </c>
      <c r="CJ92" s="365">
        <v>142.24515404186013</v>
      </c>
      <c r="CK92" s="365">
        <v>161.79859002872917</v>
      </c>
      <c r="CL92" s="365">
        <v>139.43249684377989</v>
      </c>
      <c r="CM92" s="365">
        <v>150.69561627111761</v>
      </c>
      <c r="CN92" s="365">
        <v>148.80056748998027</v>
      </c>
      <c r="CO92" s="365">
        <v>144.49414297566483</v>
      </c>
      <c r="CP92" s="365">
        <v>141.076600362211</v>
      </c>
      <c r="CQ92" s="365">
        <v>169.31716940812805</v>
      </c>
      <c r="CR92" s="365">
        <v>164.06937971928213</v>
      </c>
      <c r="CS92" s="365">
        <v>164.93584476892758</v>
      </c>
      <c r="CT92" s="365">
        <v>1132.3939968132943</v>
      </c>
      <c r="CU92" s="365">
        <v>156.01164255919684</v>
      </c>
      <c r="CV92" s="365">
        <v>132.85832581466553</v>
      </c>
      <c r="CW92" s="365">
        <v>159.5058959369475</v>
      </c>
      <c r="CX92" s="365">
        <v>142.51125010702202</v>
      </c>
      <c r="CY92" s="365">
        <v>146.74212718823296</v>
      </c>
      <c r="CZ92" s="365">
        <v>161.63636518996546</v>
      </c>
      <c r="DA92" s="365">
        <v>144.63577495024325</v>
      </c>
      <c r="DB92" s="365">
        <v>141.4321003778835</v>
      </c>
      <c r="DC92" s="365">
        <v>149.0688704286728</v>
      </c>
      <c r="DD92" s="365">
        <v>146.75984363600151</v>
      </c>
      <c r="DE92" s="365">
        <v>144.23246133270169</v>
      </c>
      <c r="DF92" s="365">
        <v>216.87018228430048</v>
      </c>
      <c r="DG92" s="365">
        <v>154.69965442081676</v>
      </c>
      <c r="DH92" s="365">
        <v>154.83007897282647</v>
      </c>
      <c r="DI92" s="365">
        <v>167.86847969716797</v>
      </c>
      <c r="DJ92" s="365">
        <v>158.70372099146277</v>
      </c>
      <c r="DK92" s="365">
        <f t="shared" si="11"/>
        <v>147.721778604458</v>
      </c>
      <c r="DL92" s="365">
        <f t="shared" si="12"/>
        <v>159.02548352056851</v>
      </c>
      <c r="DM92" s="382">
        <f t="shared" si="13"/>
        <v>7.6520232987293602</v>
      </c>
      <c r="DN92" s="346"/>
    </row>
    <row r="93" spans="1:118" ht="88.5">
      <c r="A93" s="327">
        <v>264.47619838039145</v>
      </c>
      <c r="B93" s="397" t="s">
        <v>90</v>
      </c>
      <c r="C93" s="327"/>
      <c r="D93" s="327"/>
      <c r="E93" s="327"/>
      <c r="F93" s="327"/>
      <c r="G93" s="327"/>
      <c r="H93" s="327"/>
      <c r="I93" s="327"/>
      <c r="J93" s="327"/>
      <c r="K93" s="327"/>
      <c r="L93" s="327"/>
      <c r="M93" s="327"/>
      <c r="N93" s="327"/>
      <c r="O93" s="327"/>
      <c r="P93" s="327"/>
      <c r="Q93" s="327"/>
      <c r="R93" s="327"/>
      <c r="S93" s="327"/>
      <c r="T93" s="327"/>
      <c r="U93" s="327"/>
      <c r="V93" s="327"/>
      <c r="W93" s="327"/>
      <c r="X93" s="327"/>
      <c r="Y93" s="327"/>
      <c r="Z93" s="327"/>
      <c r="AA93" s="396">
        <v>94.230174894779111</v>
      </c>
      <c r="AB93" s="395">
        <v>106.20000966068152</v>
      </c>
      <c r="AC93" s="395">
        <v>98.619026898184899</v>
      </c>
      <c r="AD93" s="395">
        <v>165.36264598097279</v>
      </c>
      <c r="AE93" s="395">
        <v>190.5488691704962</v>
      </c>
      <c r="AF93" s="393">
        <v>116.63311267407391</v>
      </c>
      <c r="AG93" s="389">
        <v>99.071023497405449</v>
      </c>
      <c r="AH93" s="394">
        <v>108.50950895398312</v>
      </c>
      <c r="AI93" s="393">
        <v>132.32797171051189</v>
      </c>
      <c r="AJ93" s="391">
        <v>188.12371792381975</v>
      </c>
      <c r="AK93" s="392">
        <v>214.84675623280907</v>
      </c>
      <c r="AL93" s="391">
        <v>181.19624549806881</v>
      </c>
      <c r="AM93" s="390">
        <v>140.26365123859233</v>
      </c>
      <c r="AN93" s="389">
        <v>139.34294772296417</v>
      </c>
      <c r="AO93" s="389">
        <v>97.802441047040787</v>
      </c>
      <c r="AP93" s="389">
        <v>128.13527228292284</v>
      </c>
      <c r="AQ93" s="389">
        <v>94.233393400987353</v>
      </c>
      <c r="AR93" s="389">
        <v>82.279326325726117</v>
      </c>
      <c r="AS93" s="387">
        <v>112.61201973154249</v>
      </c>
      <c r="AT93" s="388">
        <v>63.297531733364877</v>
      </c>
      <c r="AU93" s="387">
        <v>101.70775785226424</v>
      </c>
      <c r="AV93" s="386">
        <v>131.04201914490008</v>
      </c>
      <c r="AW93" s="385">
        <v>72.147670642547169</v>
      </c>
      <c r="AX93" s="385">
        <v>221.33175518793632</v>
      </c>
      <c r="AY93" s="384">
        <v>168.9557542789621</v>
      </c>
      <c r="AZ93" s="383">
        <v>68.157179109210233</v>
      </c>
      <c r="BA93" s="383">
        <v>94.914679338468758</v>
      </c>
      <c r="BB93" s="383">
        <v>105.90816395358864</v>
      </c>
      <c r="BC93" s="383">
        <v>123.50484427047594</v>
      </c>
      <c r="BD93" s="383">
        <v>123.50484427047594</v>
      </c>
      <c r="BE93" s="365">
        <v>66.047762164202041</v>
      </c>
      <c r="BF93" s="365">
        <v>93.089715090712232</v>
      </c>
      <c r="BG93" s="365">
        <v>78.198772218290046</v>
      </c>
      <c r="BH93" s="365">
        <v>125.59526850669032</v>
      </c>
      <c r="BI93" s="365">
        <v>145.62196952137043</v>
      </c>
      <c r="BJ93" s="365">
        <v>116.3119572812804</v>
      </c>
      <c r="BK93" s="365">
        <v>107.35450975106774</v>
      </c>
      <c r="BL93" s="365">
        <v>84.505003257080276</v>
      </c>
      <c r="BM93" s="365">
        <v>123.76761723121268</v>
      </c>
      <c r="BN93" s="365">
        <v>78.181702473923693</v>
      </c>
      <c r="BO93" s="365">
        <v>118.84688603872976</v>
      </c>
      <c r="BP93" s="365">
        <v>102.84179430019789</v>
      </c>
      <c r="BQ93" s="365">
        <v>107.86525227678057</v>
      </c>
      <c r="BR93" s="365">
        <v>83.771364443751011</v>
      </c>
      <c r="BS93" s="365">
        <v>94.371572325316023</v>
      </c>
      <c r="BT93" s="365">
        <v>130.7166655164767</v>
      </c>
      <c r="BU93" s="365">
        <v>109.58010460435342</v>
      </c>
      <c r="BV93" s="365">
        <v>94.365041663805854</v>
      </c>
      <c r="BW93" s="365">
        <v>75.381380778761724</v>
      </c>
      <c r="BX93" s="365">
        <v>122.90975661842458</v>
      </c>
      <c r="BY93" s="365">
        <v>173.74037608906661</v>
      </c>
      <c r="BZ93" s="365">
        <v>63.575034687160866</v>
      </c>
      <c r="CA93" s="365">
        <v>75.853530555530668</v>
      </c>
      <c r="CB93" s="365">
        <v>91.27853270159639</v>
      </c>
      <c r="CC93" s="365">
        <v>130.0398855027039</v>
      </c>
      <c r="CD93" s="365">
        <v>65.188802858922955</v>
      </c>
      <c r="CE93" s="365">
        <v>101.75836699438106</v>
      </c>
      <c r="CF93" s="365">
        <v>101.07750432469319</v>
      </c>
      <c r="CG93" s="365">
        <v>94.432097572196085</v>
      </c>
      <c r="CH93" s="365">
        <v>87.886374351063509</v>
      </c>
      <c r="CI93" s="365">
        <v>77.338501755916397</v>
      </c>
      <c r="CJ93" s="365">
        <v>69.356133841680276</v>
      </c>
      <c r="CK93" s="365">
        <v>67.106981260071919</v>
      </c>
      <c r="CL93" s="365">
        <v>76.771819764689198</v>
      </c>
      <c r="CM93" s="365">
        <v>60.025226470833978</v>
      </c>
      <c r="CN93" s="365">
        <v>53.30335249951284</v>
      </c>
      <c r="CO93" s="365">
        <v>71.43087434643347</v>
      </c>
      <c r="CP93" s="365">
        <v>55.750810477342171</v>
      </c>
      <c r="CQ93" s="365">
        <v>101.70601571326689</v>
      </c>
      <c r="CR93" s="365">
        <v>103.40534358124472</v>
      </c>
      <c r="CS93" s="365">
        <v>116.02369443038064</v>
      </c>
      <c r="CT93" s="365">
        <v>104.50297065985372</v>
      </c>
      <c r="CU93" s="365">
        <v>38.874009931657433</v>
      </c>
      <c r="CV93" s="365">
        <v>49.172558457099385</v>
      </c>
      <c r="CW93" s="365">
        <v>51.951474711644899</v>
      </c>
      <c r="CX93" s="365">
        <v>66.510598761853146</v>
      </c>
      <c r="CY93" s="365">
        <v>53.717074684685635</v>
      </c>
      <c r="CZ93" s="365">
        <v>37.153087343098314</v>
      </c>
      <c r="DA93" s="365">
        <v>56.598307627428028</v>
      </c>
      <c r="DB93" s="365">
        <v>45.370654886061949</v>
      </c>
      <c r="DC93" s="365">
        <v>72.073326140566294</v>
      </c>
      <c r="DD93" s="365">
        <v>129.07961355895691</v>
      </c>
      <c r="DE93" s="365">
        <v>102.21296222563532</v>
      </c>
      <c r="DF93" s="365">
        <v>95.357616084265047</v>
      </c>
      <c r="DG93" s="365">
        <v>46.060025634919889</v>
      </c>
      <c r="DH93" s="365">
        <v>46.252035956127081</v>
      </c>
      <c r="DI93" s="365">
        <v>45.475781098650288</v>
      </c>
      <c r="DJ93" s="365">
        <v>48.49478127431815</v>
      </c>
      <c r="DK93" s="365">
        <f t="shared" si="11"/>
        <v>51.627160465563712</v>
      </c>
      <c r="DL93" s="365">
        <f t="shared" si="12"/>
        <v>46.570655991003846</v>
      </c>
      <c r="DM93" s="382">
        <f t="shared" si="13"/>
        <v>-9.794271908354613</v>
      </c>
      <c r="DN93" s="346"/>
    </row>
    <row r="94" spans="1:118" s="399" customFormat="1" ht="88.5" hidden="1" customHeight="1">
      <c r="A94" s="399">
        <v>100.87613323172843</v>
      </c>
      <c r="B94" s="417" t="s">
        <v>89</v>
      </c>
      <c r="D94" s="416"/>
      <c r="E94" s="416"/>
      <c r="F94" s="416"/>
      <c r="G94" s="416"/>
      <c r="H94" s="416"/>
      <c r="I94" s="416"/>
      <c r="J94" s="416"/>
      <c r="K94" s="416"/>
      <c r="L94" s="416"/>
      <c r="M94" s="416"/>
      <c r="N94" s="416"/>
      <c r="O94" s="416"/>
      <c r="P94" s="416"/>
      <c r="Q94" s="416"/>
      <c r="R94" s="416"/>
      <c r="S94" s="416"/>
      <c r="T94" s="416"/>
      <c r="U94" s="416"/>
      <c r="V94" s="416"/>
      <c r="W94" s="416"/>
      <c r="X94" s="416"/>
      <c r="Y94" s="416"/>
      <c r="Z94" s="416"/>
      <c r="AA94" s="415">
        <v>65.299127426327871</v>
      </c>
      <c r="AB94" s="414">
        <v>138.37394360735172</v>
      </c>
      <c r="AC94" s="414">
        <v>137.70615792889404</v>
      </c>
      <c r="AD94" s="414">
        <v>41.970255770552626</v>
      </c>
      <c r="AE94" s="414">
        <v>146.07170183198789</v>
      </c>
      <c r="AF94" s="412">
        <v>146.67354288302951</v>
      </c>
      <c r="AG94" s="408">
        <v>172.69420689782319</v>
      </c>
      <c r="AH94" s="413">
        <v>194.77874630890881</v>
      </c>
      <c r="AI94" s="412">
        <v>127.6278991722252</v>
      </c>
      <c r="AJ94" s="410">
        <v>153.2668731024873</v>
      </c>
      <c r="AK94" s="411">
        <v>102.87064735587153</v>
      </c>
      <c r="AL94" s="410">
        <v>133.82376966475977</v>
      </c>
      <c r="AM94" s="409">
        <v>139.22365480824811</v>
      </c>
      <c r="AN94" s="408">
        <v>63.398440200555974</v>
      </c>
      <c r="AO94" s="408">
        <v>41.906760294209924</v>
      </c>
      <c r="AP94" s="408">
        <v>43.211185753345525</v>
      </c>
      <c r="AQ94" s="408">
        <v>87.741768933995246</v>
      </c>
      <c r="AR94" s="408">
        <v>76.063473758253153</v>
      </c>
      <c r="AS94" s="406">
        <v>69.586082825218725</v>
      </c>
      <c r="AT94" s="407">
        <v>84.95508180781448</v>
      </c>
      <c r="AU94" s="406">
        <v>75.804510721579874</v>
      </c>
      <c r="AV94" s="405">
        <v>74.992019474538154</v>
      </c>
      <c r="AW94" s="404">
        <v>87.033114696325669</v>
      </c>
      <c r="AX94" s="404">
        <v>71.083980151580732</v>
      </c>
      <c r="AY94" s="403">
        <v>104.31793677668755</v>
      </c>
      <c r="AZ94" s="402">
        <v>38.979777557594517</v>
      </c>
      <c r="BA94" s="402">
        <v>53.756053929300116</v>
      </c>
      <c r="BB94" s="402">
        <v>101.48512362752707</v>
      </c>
      <c r="BC94" s="402">
        <v>71.576040856055783</v>
      </c>
      <c r="BD94" s="402">
        <v>71.576040856055783</v>
      </c>
      <c r="BE94" s="401">
        <v>83.574356265358901</v>
      </c>
      <c r="BF94" s="401">
        <v>107.09759829597039</v>
      </c>
      <c r="BG94" s="401">
        <v>91.055931204938162</v>
      </c>
      <c r="BH94" s="401">
        <v>61.676015206324017</v>
      </c>
      <c r="BI94" s="401">
        <v>112.12408860494932</v>
      </c>
      <c r="BJ94" s="401">
        <v>113.8847947534225</v>
      </c>
      <c r="BK94" s="401">
        <v>116.00731774521182</v>
      </c>
      <c r="BL94" s="401">
        <v>117.31572152735941</v>
      </c>
      <c r="BM94" s="401">
        <v>118.17947743393641</v>
      </c>
      <c r="BN94" s="401">
        <v>115.59109587832495</v>
      </c>
      <c r="BO94" s="401">
        <v>116.624723871481</v>
      </c>
      <c r="BP94" s="401">
        <v>118.81103857899851</v>
      </c>
      <c r="BQ94" s="401">
        <v>88.460369624614998</v>
      </c>
      <c r="BR94" s="401">
        <v>89.490241562405345</v>
      </c>
      <c r="BS94" s="401">
        <v>102.71843075872232</v>
      </c>
      <c r="BT94" s="401">
        <v>123.26634569051781</v>
      </c>
      <c r="BU94" s="401">
        <v>101.41131104983118</v>
      </c>
      <c r="BV94" s="401">
        <v>104.50511986072466</v>
      </c>
      <c r="BW94" s="401">
        <v>98.748973684128558</v>
      </c>
      <c r="BX94" s="401">
        <v>131.32713507589665</v>
      </c>
      <c r="BY94" s="401">
        <v>165.70032587360001</v>
      </c>
      <c r="BZ94" s="401">
        <v>177.4677394936555</v>
      </c>
      <c r="CA94" s="401">
        <v>162.76304845709214</v>
      </c>
      <c r="CB94" s="401">
        <v>182.58976336590587</v>
      </c>
      <c r="CC94" s="401">
        <v>164.83554321862295</v>
      </c>
      <c r="CD94" s="401">
        <v>158.01064824730022</v>
      </c>
      <c r="CE94" s="401">
        <v>157.63063182833187</v>
      </c>
      <c r="CF94" s="401">
        <v>150.22891843163296</v>
      </c>
      <c r="CG94" s="401">
        <v>154.93653816363434</v>
      </c>
      <c r="CH94" s="401">
        <v>160.2650958828915</v>
      </c>
      <c r="CI94" s="401">
        <v>146.1652822968104</v>
      </c>
      <c r="CJ94" s="401">
        <v>125.28048847500989</v>
      </c>
      <c r="CK94" s="401">
        <v>195.55555588608587</v>
      </c>
      <c r="CL94" s="401">
        <v>166.88756253497741</v>
      </c>
      <c r="CM94" s="401">
        <v>203.64555673937406</v>
      </c>
      <c r="CN94" s="401">
        <v>155.95034499314295</v>
      </c>
      <c r="CO94" s="401">
        <v>140.47530157029348</v>
      </c>
      <c r="CP94" s="401">
        <v>141.16871963124331</v>
      </c>
      <c r="CQ94" s="401">
        <v>193.49207983983848</v>
      </c>
      <c r="CR94" s="401">
        <v>192.70847481355031</v>
      </c>
      <c r="CS94" s="401">
        <v>195.00386646451346</v>
      </c>
      <c r="CT94" s="401">
        <v>148.39309141745841</v>
      </c>
      <c r="CU94" s="401">
        <v>172.77348158199484</v>
      </c>
      <c r="CV94" s="401">
        <v>157.72391867354719</v>
      </c>
      <c r="CW94" s="401">
        <v>200.77082416503688</v>
      </c>
      <c r="CX94" s="401">
        <v>138.62010997066224</v>
      </c>
      <c r="CY94" s="401">
        <v>110.372359788197</v>
      </c>
      <c r="CZ94" s="401">
        <v>94.459063859962271</v>
      </c>
      <c r="DA94" s="401">
        <v>170.19106812922703</v>
      </c>
      <c r="DB94" s="401">
        <v>184.82528122679102</v>
      </c>
      <c r="DC94" s="401">
        <v>183.43031903575041</v>
      </c>
      <c r="DD94" s="401">
        <v>171.31366826284528</v>
      </c>
      <c r="DE94" s="401">
        <v>122.26370050282787</v>
      </c>
      <c r="DF94" s="401">
        <v>89.858482624337896</v>
      </c>
      <c r="DG94" s="401">
        <v>116.38416155693743</v>
      </c>
      <c r="DH94" s="401">
        <v>125.33978146008957</v>
      </c>
      <c r="DI94" s="401">
        <v>157.1787756851777</v>
      </c>
      <c r="DJ94" s="401">
        <v>109.07197515682962</v>
      </c>
      <c r="DK94" s="365">
        <f t="shared" si="11"/>
        <v>167.4720835978103</v>
      </c>
      <c r="DL94" s="365">
        <f t="shared" si="12"/>
        <v>126.99367346475859</v>
      </c>
      <c r="DM94" s="400">
        <f t="shared" si="13"/>
        <v>-24.170243340533059</v>
      </c>
      <c r="DN94" s="346"/>
    </row>
    <row r="95" spans="1:118" s="399" customFormat="1" ht="88.5" hidden="1" customHeight="1">
      <c r="A95" s="399">
        <v>186.58704731202349</v>
      </c>
      <c r="B95" s="417" t="s">
        <v>88</v>
      </c>
      <c r="D95" s="416"/>
      <c r="E95" s="416"/>
      <c r="F95" s="416"/>
      <c r="G95" s="416"/>
      <c r="H95" s="416"/>
      <c r="I95" s="416"/>
      <c r="J95" s="416"/>
      <c r="K95" s="416"/>
      <c r="L95" s="416"/>
      <c r="M95" s="416"/>
      <c r="N95" s="416"/>
      <c r="O95" s="416"/>
      <c r="P95" s="416"/>
      <c r="Q95" s="416"/>
      <c r="R95" s="416"/>
      <c r="S95" s="416"/>
      <c r="T95" s="416"/>
      <c r="U95" s="416"/>
      <c r="V95" s="416"/>
      <c r="W95" s="416"/>
      <c r="X95" s="416"/>
      <c r="Y95" s="416"/>
      <c r="Z95" s="416"/>
      <c r="AA95" s="415">
        <v>109.27410237374144</v>
      </c>
      <c r="AB95" s="414">
        <v>128.27511432321202</v>
      </c>
      <c r="AC95" s="414">
        <v>116.18267951385162</v>
      </c>
      <c r="AD95" s="414">
        <v>100.17991108660502</v>
      </c>
      <c r="AE95" s="414">
        <v>127.27475770649438</v>
      </c>
      <c r="AF95" s="412">
        <v>105.00179689001168</v>
      </c>
      <c r="AG95" s="408">
        <v>117.83098899701905</v>
      </c>
      <c r="AH95" s="413">
        <v>116.18742781962709</v>
      </c>
      <c r="AI95" s="412">
        <v>127.57382799264971</v>
      </c>
      <c r="AJ95" s="410">
        <v>74.740270392333926</v>
      </c>
      <c r="AK95" s="411">
        <v>129.54508156862875</v>
      </c>
      <c r="AL95" s="410">
        <v>138.40933093260088</v>
      </c>
      <c r="AM95" s="409">
        <v>225.43291473574612</v>
      </c>
      <c r="AN95" s="408">
        <v>130.10507770200127</v>
      </c>
      <c r="AO95" s="408">
        <v>116.08998080185553</v>
      </c>
      <c r="AP95" s="408">
        <v>119.08166061795154</v>
      </c>
      <c r="AQ95" s="408">
        <v>128.62255864816737</v>
      </c>
      <c r="AR95" s="408">
        <v>124.09659062675384</v>
      </c>
      <c r="AS95" s="406">
        <v>142.18312835946526</v>
      </c>
      <c r="AT95" s="407">
        <v>125.52613200828652</v>
      </c>
      <c r="AU95" s="406">
        <v>114.49380444951713</v>
      </c>
      <c r="AV95" s="405">
        <v>75.528988399835441</v>
      </c>
      <c r="AW95" s="404">
        <v>120.0051048001221</v>
      </c>
      <c r="AX95" s="404">
        <v>153.33465487772045</v>
      </c>
      <c r="AY95" s="403">
        <v>104.20513554651555</v>
      </c>
      <c r="AZ95" s="402">
        <v>147.68141811260537</v>
      </c>
      <c r="BA95" s="402">
        <v>142.21087926737752</v>
      </c>
      <c r="BB95" s="402">
        <v>119.25467876306656</v>
      </c>
      <c r="BC95" s="402">
        <v>130.87391711313128</v>
      </c>
      <c r="BD95" s="402">
        <v>130.87391711313128</v>
      </c>
      <c r="BE95" s="401">
        <v>128.84691392010137</v>
      </c>
      <c r="BF95" s="401">
        <v>108.50085220895338</v>
      </c>
      <c r="BG95" s="401">
        <v>110.3242166323633</v>
      </c>
      <c r="BH95" s="401">
        <v>94.289337038757665</v>
      </c>
      <c r="BI95" s="401">
        <v>145.70443374905841</v>
      </c>
      <c r="BJ95" s="401">
        <v>169.33569595499486</v>
      </c>
      <c r="BK95" s="401">
        <v>135.68874495884717</v>
      </c>
      <c r="BL95" s="401">
        <v>130.96990967023265</v>
      </c>
      <c r="BM95" s="401">
        <v>173.279184957311</v>
      </c>
      <c r="BN95" s="401">
        <v>153.71269235226663</v>
      </c>
      <c r="BO95" s="401">
        <v>187.602922296939</v>
      </c>
      <c r="BP95" s="401">
        <v>121.31680899278638</v>
      </c>
      <c r="BQ95" s="401">
        <v>157.77799618848891</v>
      </c>
      <c r="BR95" s="401">
        <v>115.04250442350839</v>
      </c>
      <c r="BS95" s="401">
        <v>179.16887720486324</v>
      </c>
      <c r="BT95" s="401">
        <v>141.19508577653352</v>
      </c>
      <c r="BU95" s="401">
        <v>158.51937748982604</v>
      </c>
      <c r="BV95" s="401">
        <v>151.19192893316324</v>
      </c>
      <c r="BW95" s="401">
        <v>153.10331117711658</v>
      </c>
      <c r="BX95" s="401">
        <v>139.03676079000644</v>
      </c>
      <c r="BY95" s="401">
        <v>172.1607112128018</v>
      </c>
      <c r="BZ95" s="401">
        <v>134.31861302392724</v>
      </c>
      <c r="CA95" s="401">
        <v>180.01974451959248</v>
      </c>
      <c r="CB95" s="401">
        <v>160.35008674564534</v>
      </c>
      <c r="CC95" s="401">
        <v>158.30121357745355</v>
      </c>
      <c r="CD95" s="401">
        <v>119.32450755921209</v>
      </c>
      <c r="CE95" s="401">
        <v>181.63642980449674</v>
      </c>
      <c r="CF95" s="401">
        <v>165.47616628741977</v>
      </c>
      <c r="CG95" s="401">
        <v>171.04857292206464</v>
      </c>
      <c r="CH95" s="401">
        <v>156.8895845381642</v>
      </c>
      <c r="CI95" s="401">
        <v>180.87119391084298</v>
      </c>
      <c r="CJ95" s="401">
        <v>184.58412876741934</v>
      </c>
      <c r="CK95" s="401">
        <v>215.36482820461771</v>
      </c>
      <c r="CL95" s="401">
        <v>187.3529081654348</v>
      </c>
      <c r="CM95" s="401">
        <v>236.85746444681115</v>
      </c>
      <c r="CN95" s="401">
        <v>185.99232017584774</v>
      </c>
      <c r="CO95" s="401">
        <v>161.29194960767563</v>
      </c>
      <c r="CP95" s="401">
        <v>183.45621959860182</v>
      </c>
      <c r="CQ95" s="401">
        <v>132.40251534312137</v>
      </c>
      <c r="CR95" s="401">
        <v>166.31359889203361</v>
      </c>
      <c r="CS95" s="401">
        <v>144.21881184432053</v>
      </c>
      <c r="CT95" s="401">
        <v>177.26833398669896</v>
      </c>
      <c r="CU95" s="401">
        <v>146.59458003306034</v>
      </c>
      <c r="CV95" s="401">
        <v>197.98433467891692</v>
      </c>
      <c r="CW95" s="401">
        <v>167.64907949819943</v>
      </c>
      <c r="CX95" s="401">
        <v>149.74056752376904</v>
      </c>
      <c r="CY95" s="401">
        <v>214.27728101471936</v>
      </c>
      <c r="CZ95" s="401">
        <v>180.83549660270126</v>
      </c>
      <c r="DA95" s="401">
        <v>227.72677802439597</v>
      </c>
      <c r="DB95" s="401">
        <v>178.09457737540936</v>
      </c>
      <c r="DC95" s="401">
        <v>195.33615454906183</v>
      </c>
      <c r="DD95" s="401">
        <v>234.71540233531388</v>
      </c>
      <c r="DE95" s="401">
        <v>208.86389407935832</v>
      </c>
      <c r="DF95" s="401">
        <v>287.84508329765043</v>
      </c>
      <c r="DG95" s="401">
        <v>155.0858913498966</v>
      </c>
      <c r="DH95" s="401">
        <v>190.74621640736714</v>
      </c>
      <c r="DI95" s="401">
        <v>196.49879941651625</v>
      </c>
      <c r="DJ95" s="401">
        <v>165.57673221886182</v>
      </c>
      <c r="DK95" s="365">
        <f t="shared" si="11"/>
        <v>165.49214043348644</v>
      </c>
      <c r="DL95" s="365">
        <f t="shared" si="12"/>
        <v>176.97690984816046</v>
      </c>
      <c r="DM95" s="400">
        <f t="shared" si="13"/>
        <v>6.9397672811476463</v>
      </c>
      <c r="DN95" s="346"/>
    </row>
    <row r="96" spans="1:118" s="399" customFormat="1" ht="88.5" hidden="1" customHeight="1">
      <c r="A96" s="399">
        <v>115.97406190663384</v>
      </c>
      <c r="B96" s="417" t="s">
        <v>87</v>
      </c>
      <c r="D96" s="416"/>
      <c r="E96" s="416"/>
      <c r="F96" s="416"/>
      <c r="G96" s="416"/>
      <c r="H96" s="416"/>
      <c r="I96" s="416"/>
      <c r="J96" s="416"/>
      <c r="K96" s="416"/>
      <c r="L96" s="416"/>
      <c r="M96" s="416"/>
      <c r="N96" s="416"/>
      <c r="O96" s="416"/>
      <c r="P96" s="416"/>
      <c r="Q96" s="416"/>
      <c r="R96" s="416"/>
      <c r="S96" s="416"/>
      <c r="T96" s="416"/>
      <c r="U96" s="416"/>
      <c r="V96" s="416"/>
      <c r="W96" s="416"/>
      <c r="X96" s="416"/>
      <c r="Y96" s="416"/>
      <c r="Z96" s="416"/>
      <c r="AA96" s="415">
        <v>115.47813001648863</v>
      </c>
      <c r="AB96" s="414">
        <v>96.802218197959405</v>
      </c>
      <c r="AC96" s="414">
        <v>94.521707500998019</v>
      </c>
      <c r="AD96" s="414">
        <v>139.43777699387857</v>
      </c>
      <c r="AE96" s="414">
        <v>97.889180627490006</v>
      </c>
      <c r="AF96" s="412">
        <v>110.12301330621881</v>
      </c>
      <c r="AG96" s="408">
        <v>102.49913780092132</v>
      </c>
      <c r="AH96" s="413">
        <v>92.863744249725187</v>
      </c>
      <c r="AI96" s="412">
        <v>77.584134792194661</v>
      </c>
      <c r="AJ96" s="410">
        <v>120.90569584886022</v>
      </c>
      <c r="AK96" s="411">
        <v>97.204156361570369</v>
      </c>
      <c r="AL96" s="410">
        <v>119.09064608611165</v>
      </c>
      <c r="AM96" s="409">
        <v>122.30552372995339</v>
      </c>
      <c r="AN96" s="408">
        <v>96.522587989830356</v>
      </c>
      <c r="AO96" s="408">
        <v>97.482154186647492</v>
      </c>
      <c r="AP96" s="408">
        <v>119.94445217445165</v>
      </c>
      <c r="AQ96" s="408">
        <v>103.33999972734429</v>
      </c>
      <c r="AR96" s="408">
        <v>109.26853465146937</v>
      </c>
      <c r="AS96" s="406">
        <v>100.40694118359362</v>
      </c>
      <c r="AT96" s="407">
        <v>135.31508445340788</v>
      </c>
      <c r="AU96" s="406">
        <v>85.347195165529001</v>
      </c>
      <c r="AV96" s="405">
        <v>117.20226252037567</v>
      </c>
      <c r="AW96" s="404">
        <v>118.51418212813525</v>
      </c>
      <c r="AX96" s="404">
        <v>132.38175493637263</v>
      </c>
      <c r="AY96" s="403">
        <v>109.00808980821546</v>
      </c>
      <c r="AZ96" s="402">
        <v>98.954034393025836</v>
      </c>
      <c r="BA96" s="402">
        <v>122.74237010733968</v>
      </c>
      <c r="BB96" s="402">
        <v>104.35359132839622</v>
      </c>
      <c r="BC96" s="402">
        <v>105.91846715129164</v>
      </c>
      <c r="BD96" s="402">
        <v>105.91846715129164</v>
      </c>
      <c r="BE96" s="401">
        <v>120.20269978056929</v>
      </c>
      <c r="BF96" s="401">
        <v>99.130872512574641</v>
      </c>
      <c r="BG96" s="401">
        <v>104.74293682780188</v>
      </c>
      <c r="BH96" s="401">
        <v>109.33114163733788</v>
      </c>
      <c r="BI96" s="401">
        <v>137.05903109689112</v>
      </c>
      <c r="BJ96" s="401">
        <v>128.17925125477962</v>
      </c>
      <c r="BK96" s="401">
        <v>123.10344126730561</v>
      </c>
      <c r="BL96" s="401">
        <v>100.78572683865814</v>
      </c>
      <c r="BM96" s="401">
        <v>128.67505134306552</v>
      </c>
      <c r="BN96" s="401">
        <v>133.14289857970982</v>
      </c>
      <c r="BO96" s="401">
        <v>126.91217861331535</v>
      </c>
      <c r="BP96" s="401">
        <v>125.26308659853868</v>
      </c>
      <c r="BQ96" s="401">
        <v>155.9281314432032</v>
      </c>
      <c r="BR96" s="401">
        <v>118.56287598068251</v>
      </c>
      <c r="BS96" s="401">
        <v>106.58945129834063</v>
      </c>
      <c r="BT96" s="401">
        <v>137.26325488938693</v>
      </c>
      <c r="BU96" s="401">
        <v>166.96814832779793</v>
      </c>
      <c r="BV96" s="401">
        <v>141.2865764192785</v>
      </c>
      <c r="BW96" s="401">
        <v>120.88567862001148</v>
      </c>
      <c r="BX96" s="401">
        <v>126.7783755930848</v>
      </c>
      <c r="BY96" s="401">
        <v>128.74882331975169</v>
      </c>
      <c r="BZ96" s="401">
        <v>111.07902992878961</v>
      </c>
      <c r="CA96" s="401">
        <v>103.90046676714429</v>
      </c>
      <c r="CB96" s="401">
        <v>107.38969500190534</v>
      </c>
      <c r="CC96" s="401">
        <v>90.483933328712709</v>
      </c>
      <c r="CD96" s="401">
        <v>95.441976066442265</v>
      </c>
      <c r="CE96" s="401">
        <v>92.973048623676178</v>
      </c>
      <c r="CF96" s="401">
        <v>119.99807911461193</v>
      </c>
      <c r="CG96" s="401">
        <v>130.59782572675459</v>
      </c>
      <c r="CH96" s="401">
        <v>133.83557874566949</v>
      </c>
      <c r="CI96" s="401">
        <v>122.37620628159583</v>
      </c>
      <c r="CJ96" s="401">
        <v>89.760446751324039</v>
      </c>
      <c r="CK96" s="401">
        <v>92.565343058778296</v>
      </c>
      <c r="CL96" s="401">
        <v>103.84819134813362</v>
      </c>
      <c r="CM96" s="401">
        <v>101.31845496203135</v>
      </c>
      <c r="CN96" s="401">
        <v>89.975580489934529</v>
      </c>
      <c r="CO96" s="401">
        <v>94.152291813099637</v>
      </c>
      <c r="CP96" s="401">
        <v>86.528467129874116</v>
      </c>
      <c r="CQ96" s="401">
        <v>79.816231925158618</v>
      </c>
      <c r="CR96" s="401">
        <v>105.22257396163381</v>
      </c>
      <c r="CS96" s="401">
        <v>134.18008125763035</v>
      </c>
      <c r="CT96" s="401">
        <v>123.47165094255844</v>
      </c>
      <c r="CU96" s="401">
        <v>112.35963564563799</v>
      </c>
      <c r="CV96" s="401">
        <v>102.47425116045733</v>
      </c>
      <c r="CW96" s="401">
        <v>106.22307678135989</v>
      </c>
      <c r="CX96" s="401">
        <v>76.593547673061209</v>
      </c>
      <c r="CY96" s="401">
        <v>134.28325615098586</v>
      </c>
      <c r="CZ96" s="401">
        <v>110.19344835243157</v>
      </c>
      <c r="DA96" s="401">
        <v>90.651543133129564</v>
      </c>
      <c r="DB96" s="401">
        <v>125.77274452835087</v>
      </c>
      <c r="DC96" s="401">
        <v>91.984523376145432</v>
      </c>
      <c r="DD96" s="401">
        <v>108.22915882916415</v>
      </c>
      <c r="DE96" s="401">
        <v>146.35450852610501</v>
      </c>
      <c r="DF96" s="401">
        <v>146.4133372574056</v>
      </c>
      <c r="DG96" s="401">
        <v>116.94626802122504</v>
      </c>
      <c r="DH96" s="401">
        <v>111.62764425565318</v>
      </c>
      <c r="DI96" s="401">
        <v>107.61427785327074</v>
      </c>
      <c r="DJ96" s="401">
        <v>115.37731094416604</v>
      </c>
      <c r="DK96" s="365">
        <f t="shared" si="11"/>
        <v>99.412627815129113</v>
      </c>
      <c r="DL96" s="365">
        <f t="shared" si="12"/>
        <v>112.89137526857874</v>
      </c>
      <c r="DM96" s="400">
        <f t="shared" si="13"/>
        <v>13.558385639413073</v>
      </c>
      <c r="DN96" s="346"/>
    </row>
    <row r="97" spans="1:119" s="399" customFormat="1" ht="88.5" hidden="1" customHeight="1">
      <c r="A97" s="399">
        <v>188.76562802729418</v>
      </c>
      <c r="B97" s="417" t="s">
        <v>86</v>
      </c>
      <c r="D97" s="416"/>
      <c r="E97" s="416"/>
      <c r="F97" s="416"/>
      <c r="G97" s="416"/>
      <c r="H97" s="416"/>
      <c r="I97" s="416"/>
      <c r="J97" s="416"/>
      <c r="K97" s="416"/>
      <c r="L97" s="416"/>
      <c r="M97" s="416"/>
      <c r="N97" s="416"/>
      <c r="O97" s="416"/>
      <c r="P97" s="416"/>
      <c r="Q97" s="416"/>
      <c r="R97" s="416"/>
      <c r="S97" s="416"/>
      <c r="T97" s="416"/>
      <c r="U97" s="416"/>
      <c r="V97" s="416"/>
      <c r="W97" s="416"/>
      <c r="X97" s="416"/>
      <c r="Y97" s="416"/>
      <c r="Z97" s="416"/>
      <c r="AA97" s="415">
        <v>209.44510416943731</v>
      </c>
      <c r="AB97" s="414">
        <v>208.89500692193835</v>
      </c>
      <c r="AC97" s="414">
        <v>80.715636623361974</v>
      </c>
      <c r="AD97" s="414">
        <v>352.52879483173365</v>
      </c>
      <c r="AE97" s="414">
        <v>38.077885879291429</v>
      </c>
      <c r="AF97" s="412">
        <v>435.69320852584866</v>
      </c>
      <c r="AG97" s="408">
        <v>200.7754856183999</v>
      </c>
      <c r="AH97" s="413">
        <v>106.38802326999063</v>
      </c>
      <c r="AI97" s="412">
        <v>152.81856431462543</v>
      </c>
      <c r="AJ97" s="410">
        <v>449.30024627141205</v>
      </c>
      <c r="AK97" s="411">
        <v>8.8861401259816795</v>
      </c>
      <c r="AL97" s="410">
        <v>238.12705796344326</v>
      </c>
      <c r="AM97" s="409">
        <v>105.26637762799569</v>
      </c>
      <c r="AN97" s="408">
        <v>163.84204948899077</v>
      </c>
      <c r="AO97" s="408">
        <v>163.85692423820092</v>
      </c>
      <c r="AP97" s="408">
        <v>200.60746152914211</v>
      </c>
      <c r="AQ97" s="408">
        <v>274.17560470592485</v>
      </c>
      <c r="AR97" s="408">
        <v>320.56494845647052</v>
      </c>
      <c r="AS97" s="406">
        <v>241.36439184544133</v>
      </c>
      <c r="AT97" s="407">
        <v>108.61872014705881</v>
      </c>
      <c r="AU97" s="406">
        <v>89.638065645314597</v>
      </c>
      <c r="AV97" s="405">
        <v>99.316768864245361</v>
      </c>
      <c r="AW97" s="404">
        <v>198.5064216152829</v>
      </c>
      <c r="AX97" s="404">
        <v>168.84057103730501</v>
      </c>
      <c r="AY97" s="403">
        <v>177.42012288805731</v>
      </c>
      <c r="AZ97" s="402">
        <v>396.02420304811511</v>
      </c>
      <c r="BA97" s="402">
        <v>192.77354613130004</v>
      </c>
      <c r="BB97" s="402">
        <v>321.25143474171841</v>
      </c>
      <c r="BC97" s="402">
        <v>233.01812548533809</v>
      </c>
      <c r="BD97" s="402">
        <v>233.01812548533809</v>
      </c>
      <c r="BE97" s="401">
        <v>351.95933620614915</v>
      </c>
      <c r="BF97" s="401">
        <v>351.75117929232408</v>
      </c>
      <c r="BG97" s="401">
        <v>273.06951819792141</v>
      </c>
      <c r="BH97" s="401">
        <v>134.57722877597226</v>
      </c>
      <c r="BI97" s="401">
        <v>309.90703704331082</v>
      </c>
      <c r="BJ97" s="401">
        <v>292.898676882205</v>
      </c>
      <c r="BK97" s="401">
        <v>352.92231282830096</v>
      </c>
      <c r="BL97" s="401">
        <v>189.79114156548235</v>
      </c>
      <c r="BM97" s="401">
        <v>174.28364969412667</v>
      </c>
      <c r="BN97" s="401">
        <v>566.20402337500389</v>
      </c>
      <c r="BO97" s="401">
        <v>399.80490667462561</v>
      </c>
      <c r="BP97" s="401">
        <v>195.23961415675788</v>
      </c>
      <c r="BQ97" s="401">
        <v>352.17111439667548</v>
      </c>
      <c r="BR97" s="401">
        <v>428.8633414577738</v>
      </c>
      <c r="BS97" s="401">
        <v>409.04269156832203</v>
      </c>
      <c r="BT97" s="401">
        <v>409.05492495736019</v>
      </c>
      <c r="BU97" s="401">
        <v>409.80255805752569</v>
      </c>
      <c r="BV97" s="401">
        <v>623.71438942304167</v>
      </c>
      <c r="BW97" s="401">
        <v>375.35372707569388</v>
      </c>
      <c r="BX97" s="401">
        <v>192.1656578097664</v>
      </c>
      <c r="BY97" s="401">
        <v>264.47619838039145</v>
      </c>
      <c r="BZ97" s="401">
        <v>152.24203751553429</v>
      </c>
      <c r="CA97" s="401">
        <v>317.16515488319345</v>
      </c>
      <c r="CB97" s="401">
        <v>190.59463445388684</v>
      </c>
      <c r="CC97" s="401">
        <v>518.39039270880357</v>
      </c>
      <c r="CD97" s="401">
        <v>326.88850144714849</v>
      </c>
      <c r="CE97" s="401">
        <v>325.84232656903004</v>
      </c>
      <c r="CF97" s="401">
        <v>280.24634900720139</v>
      </c>
      <c r="CG97" s="401">
        <v>305.8090886536537</v>
      </c>
      <c r="CH97" s="401">
        <v>405.15380861028024</v>
      </c>
      <c r="CI97" s="401">
        <v>268.85315332418975</v>
      </c>
      <c r="CJ97" s="401">
        <v>249.33305763773029</v>
      </c>
      <c r="CK97" s="401">
        <v>284.77443304767593</v>
      </c>
      <c r="CL97" s="401">
        <v>149.08416059393932</v>
      </c>
      <c r="CM97" s="401">
        <v>282.13950494625027</v>
      </c>
      <c r="CN97" s="401">
        <v>61.505082112266223</v>
      </c>
      <c r="CO97" s="401">
        <v>130.69352145553</v>
      </c>
      <c r="CP97" s="401">
        <v>127.02977346350868</v>
      </c>
      <c r="CQ97" s="401">
        <v>252.21702855922567</v>
      </c>
      <c r="CR97" s="401">
        <v>224.27111310436453</v>
      </c>
      <c r="CS97" s="401">
        <v>113.8181389932188</v>
      </c>
      <c r="CT97" s="401">
        <v>104.49134502720781</v>
      </c>
      <c r="CU97" s="401">
        <v>119.51703565150839</v>
      </c>
      <c r="CV97" s="401">
        <v>117.24186820852383</v>
      </c>
      <c r="CW97" s="401">
        <v>233.14387783192885</v>
      </c>
      <c r="CX97" s="401">
        <v>137.77084566397167</v>
      </c>
      <c r="CY97" s="401">
        <v>132.03062148705393</v>
      </c>
      <c r="CZ97" s="401">
        <v>142.08041872558405</v>
      </c>
      <c r="DA97" s="401">
        <v>38.994656948623756</v>
      </c>
      <c r="DB97" s="401">
        <v>144.89428067173745</v>
      </c>
      <c r="DC97" s="401">
        <v>58.714354620852973</v>
      </c>
      <c r="DD97" s="401">
        <v>185.53832830039028</v>
      </c>
      <c r="DE97" s="401">
        <v>93.702102664016479</v>
      </c>
      <c r="DF97" s="401">
        <v>24.486475375814617</v>
      </c>
      <c r="DG97" s="401">
        <v>171.10321790105911</v>
      </c>
      <c r="DH97" s="401">
        <v>166.0072301094755</v>
      </c>
      <c r="DI97" s="401">
        <v>165.92714073987102</v>
      </c>
      <c r="DJ97" s="401">
        <v>401.46826693693282</v>
      </c>
      <c r="DK97" s="365">
        <f t="shared" si="11"/>
        <v>151.91840683898317</v>
      </c>
      <c r="DL97" s="365">
        <f t="shared" si="12"/>
        <v>226.12646392183461</v>
      </c>
      <c r="DM97" s="400">
        <f t="shared" si="13"/>
        <v>48.84731128170916</v>
      </c>
      <c r="DN97" s="346"/>
    </row>
    <row r="98" spans="1:119" s="399" customFormat="1" ht="88.5" hidden="1" customHeight="1">
      <c r="A98" s="399">
        <v>139.07299662507774</v>
      </c>
      <c r="B98" s="417" t="s">
        <v>85</v>
      </c>
      <c r="D98" s="416"/>
      <c r="E98" s="416"/>
      <c r="F98" s="416"/>
      <c r="G98" s="416"/>
      <c r="H98" s="416"/>
      <c r="I98" s="416"/>
      <c r="J98" s="416"/>
      <c r="K98" s="416"/>
      <c r="L98" s="416"/>
      <c r="M98" s="416"/>
      <c r="N98" s="416"/>
      <c r="O98" s="416"/>
      <c r="P98" s="416"/>
      <c r="Q98" s="416"/>
      <c r="R98" s="416"/>
      <c r="S98" s="416"/>
      <c r="T98" s="416"/>
      <c r="U98" s="416"/>
      <c r="V98" s="416"/>
      <c r="W98" s="416"/>
      <c r="X98" s="416"/>
      <c r="Y98" s="416"/>
      <c r="Z98" s="416"/>
      <c r="AA98" s="415">
        <v>122.58835127429556</v>
      </c>
      <c r="AB98" s="414">
        <v>125.1644443343308</v>
      </c>
      <c r="AC98" s="414">
        <v>125.42733983290961</v>
      </c>
      <c r="AD98" s="414">
        <v>138.81444373399148</v>
      </c>
      <c r="AE98" s="414">
        <v>132.73833913638288</v>
      </c>
      <c r="AF98" s="412">
        <v>119.8874099589041</v>
      </c>
      <c r="AG98" s="408">
        <v>155.12491185136253</v>
      </c>
      <c r="AH98" s="413">
        <v>126.7048084857696</v>
      </c>
      <c r="AI98" s="412">
        <v>113.25898751446532</v>
      </c>
      <c r="AJ98" s="410">
        <v>145.86448114534346</v>
      </c>
      <c r="AK98" s="411">
        <v>111.11920273947185</v>
      </c>
      <c r="AL98" s="410">
        <v>137.84723865689065</v>
      </c>
      <c r="AM98" s="409">
        <v>146.05851954218599</v>
      </c>
      <c r="AN98" s="408">
        <v>102.45567990696567</v>
      </c>
      <c r="AO98" s="408">
        <v>109.37371331481347</v>
      </c>
      <c r="AP98" s="408">
        <v>122.22003672424457</v>
      </c>
      <c r="AQ98" s="408">
        <v>126.04199179640248</v>
      </c>
      <c r="AR98" s="408">
        <v>117.48859808232483</v>
      </c>
      <c r="AS98" s="406">
        <v>125.32716684069011</v>
      </c>
      <c r="AT98" s="407">
        <v>121.92805740730753</v>
      </c>
      <c r="AU98" s="406">
        <v>107.1067332984379</v>
      </c>
      <c r="AV98" s="405">
        <v>131.07139566677529</v>
      </c>
      <c r="AW98" s="404">
        <v>131.72799552536384</v>
      </c>
      <c r="AX98" s="404">
        <v>186.6026042874725</v>
      </c>
      <c r="AY98" s="403">
        <v>125.45857703849862</v>
      </c>
      <c r="AZ98" s="402">
        <v>122.81974120769713</v>
      </c>
      <c r="BA98" s="402">
        <v>144.38038217174943</v>
      </c>
      <c r="BB98" s="402">
        <v>135.10418802155087</v>
      </c>
      <c r="BC98" s="402">
        <v>112.46632238392827</v>
      </c>
      <c r="BD98" s="402">
        <v>112.46632238392827</v>
      </c>
      <c r="BE98" s="401">
        <v>111.35878670093224</v>
      </c>
      <c r="BF98" s="401">
        <v>97.77609083799004</v>
      </c>
      <c r="BG98" s="401">
        <v>96.452391539036455</v>
      </c>
      <c r="BH98" s="401">
        <v>112.03766339827328</v>
      </c>
      <c r="BI98" s="401">
        <v>107.10883892629211</v>
      </c>
      <c r="BJ98" s="401">
        <v>149.59140595504959</v>
      </c>
      <c r="BK98" s="401">
        <v>106.1538292338887</v>
      </c>
      <c r="BL98" s="401">
        <v>109.46345782918712</v>
      </c>
      <c r="BM98" s="401">
        <v>107.67044429903855</v>
      </c>
      <c r="BN98" s="401">
        <v>99.414395553539137</v>
      </c>
      <c r="BO98" s="401">
        <v>112.31483501897775</v>
      </c>
      <c r="BP98" s="401">
        <v>98.149327319919223</v>
      </c>
      <c r="BQ98" s="401">
        <v>98.735151100331848</v>
      </c>
      <c r="BR98" s="401">
        <v>106.42835275124467</v>
      </c>
      <c r="BS98" s="401">
        <v>93.552681326158464</v>
      </c>
      <c r="BT98" s="401">
        <v>96.618614071707071</v>
      </c>
      <c r="BU98" s="401">
        <v>119.10628703011575</v>
      </c>
      <c r="BV98" s="401">
        <v>113.27878304600566</v>
      </c>
      <c r="BW98" s="401">
        <v>90.649120465127766</v>
      </c>
      <c r="BX98" s="401">
        <v>95.936605130519965</v>
      </c>
      <c r="BY98" s="401">
        <v>100.87613323172843</v>
      </c>
      <c r="BZ98" s="401">
        <v>105.1922708903618</v>
      </c>
      <c r="CA98" s="401">
        <v>102.1676920608313</v>
      </c>
      <c r="CB98" s="401">
        <v>98.340608740655796</v>
      </c>
      <c r="CC98" s="401">
        <v>99.451264307134807</v>
      </c>
      <c r="CD98" s="401">
        <v>97.668216108640735</v>
      </c>
      <c r="CE98" s="401">
        <v>99.077165908478747</v>
      </c>
      <c r="CF98" s="401">
        <v>100.30972616795559</v>
      </c>
      <c r="CG98" s="401">
        <v>104.12351156623436</v>
      </c>
      <c r="CH98" s="401">
        <v>124.50140510922672</v>
      </c>
      <c r="CI98" s="401">
        <v>97.23762251778686</v>
      </c>
      <c r="CJ98" s="401">
        <v>123.93201017461706</v>
      </c>
      <c r="CK98" s="401">
        <v>102.62562033114604</v>
      </c>
      <c r="CL98" s="401">
        <v>98.654484174107523</v>
      </c>
      <c r="CM98" s="401">
        <v>93.109248746932991</v>
      </c>
      <c r="CN98" s="401">
        <v>97.665699507009876</v>
      </c>
      <c r="CO98" s="401">
        <v>101.92645904095976</v>
      </c>
      <c r="CP98" s="401">
        <v>86.731341244054406</v>
      </c>
      <c r="CQ98" s="401">
        <v>79.650068808096592</v>
      </c>
      <c r="CR98" s="401">
        <v>83.293245212495364</v>
      </c>
      <c r="CS98" s="401">
        <v>98.174206870914674</v>
      </c>
      <c r="CT98" s="401">
        <v>123.63776345782222</v>
      </c>
      <c r="CU98" s="401">
        <v>95.608059977437435</v>
      </c>
      <c r="CV98" s="401">
        <v>108.92569186345591</v>
      </c>
      <c r="CW98" s="401">
        <v>93.633275880645485</v>
      </c>
      <c r="CX98" s="401">
        <v>101.0235808410178</v>
      </c>
      <c r="CY98" s="401">
        <v>97.17330696238578</v>
      </c>
      <c r="CZ98" s="401">
        <v>99.036229247373697</v>
      </c>
      <c r="DA98" s="401">
        <v>90.792546617514589</v>
      </c>
      <c r="DB98" s="401">
        <v>83.868475050348223</v>
      </c>
      <c r="DC98" s="401">
        <v>99.045306039992752</v>
      </c>
      <c r="DD98" s="401">
        <v>116.72328185018822</v>
      </c>
      <c r="DE98" s="401">
        <v>103.15719582550817</v>
      </c>
      <c r="DF98" s="401">
        <v>116.34255546415864</v>
      </c>
      <c r="DG98" s="401">
        <v>83.443409613275008</v>
      </c>
      <c r="DH98" s="401">
        <v>101.66884659204182</v>
      </c>
      <c r="DI98" s="401">
        <v>93.589649678900187</v>
      </c>
      <c r="DJ98" s="401">
        <v>109.428894760475</v>
      </c>
      <c r="DK98" s="365">
        <f t="shared" si="11"/>
        <v>99.797652140639158</v>
      </c>
      <c r="DL98" s="365">
        <f t="shared" si="12"/>
        <v>97.032700161173011</v>
      </c>
      <c r="DM98" s="400">
        <f t="shared" si="13"/>
        <v>-2.7705581445640171</v>
      </c>
      <c r="DN98" s="346"/>
    </row>
    <row r="99" spans="1:119" ht="88.5">
      <c r="A99" s="327">
        <v>39.899445649804228</v>
      </c>
      <c r="B99" s="397" t="s">
        <v>84</v>
      </c>
      <c r="C99" s="327"/>
      <c r="AA99" s="396">
        <v>134.49991672675091</v>
      </c>
      <c r="AB99" s="395">
        <v>148.04643761916776</v>
      </c>
      <c r="AC99" s="395">
        <v>104.3811318260552</v>
      </c>
      <c r="AD99" s="395">
        <v>181.42272989414474</v>
      </c>
      <c r="AE99" s="395">
        <v>95.376359948572656</v>
      </c>
      <c r="AF99" s="393">
        <v>222.5486301544629</v>
      </c>
      <c r="AG99" s="389">
        <v>154.66036252058797</v>
      </c>
      <c r="AH99" s="394">
        <v>124.52873979697883</v>
      </c>
      <c r="AI99" s="393">
        <v>121.89606785933972</v>
      </c>
      <c r="AJ99" s="391">
        <v>228.43649604116311</v>
      </c>
      <c r="AK99" s="392">
        <v>75.510594064181959</v>
      </c>
      <c r="AL99" s="391">
        <v>164.47233412256008</v>
      </c>
      <c r="AM99" s="390">
        <v>136.67664830259019</v>
      </c>
      <c r="AN99" s="389">
        <v>116.23933973532307</v>
      </c>
      <c r="AO99" s="389">
        <v>110.31745130227513</v>
      </c>
      <c r="AP99" s="389">
        <v>129.4519027513268</v>
      </c>
      <c r="AQ99" s="389">
        <v>159.97657458200658</v>
      </c>
      <c r="AR99" s="389">
        <v>172.73712153839617</v>
      </c>
      <c r="AS99" s="387">
        <v>146.66548303555561</v>
      </c>
      <c r="AT99" s="388">
        <v>113.68974313455881</v>
      </c>
      <c r="AU99" s="387">
        <v>90.213379193065919</v>
      </c>
      <c r="AV99" s="386">
        <v>97.320879494991971</v>
      </c>
      <c r="AW99" s="385">
        <v>138.53431524004145</v>
      </c>
      <c r="AX99" s="385">
        <v>137.36903898307838</v>
      </c>
      <c r="AY99" s="384">
        <v>130.3538056169651</v>
      </c>
      <c r="AZ99" s="383">
        <v>190.09384045283863</v>
      </c>
      <c r="BA99" s="383">
        <v>134.61443097485537</v>
      </c>
      <c r="BB99" s="383">
        <v>177.55782501183313</v>
      </c>
      <c r="BC99" s="383">
        <v>143.40618854926765</v>
      </c>
      <c r="BD99" s="383">
        <v>143.40618854926765</v>
      </c>
      <c r="BE99" s="365">
        <v>187.55977095309916</v>
      </c>
      <c r="BF99" s="365">
        <v>183.33561239835126</v>
      </c>
      <c r="BG99" s="365">
        <v>156.21747633829213</v>
      </c>
      <c r="BH99" s="365">
        <v>105.25385236847374</v>
      </c>
      <c r="BI99" s="365">
        <v>186.64955376676576</v>
      </c>
      <c r="BJ99" s="365">
        <v>185.31414295387759</v>
      </c>
      <c r="BK99" s="365">
        <v>196.22245236687644</v>
      </c>
      <c r="BL99" s="365">
        <v>137.81173689753874</v>
      </c>
      <c r="BM99" s="365">
        <v>146.13970489207716</v>
      </c>
      <c r="BN99" s="365">
        <v>269.46709550833066</v>
      </c>
      <c r="BO99" s="365">
        <v>220.21759828041269</v>
      </c>
      <c r="BP99" s="365">
        <v>144.11349355592429</v>
      </c>
      <c r="BQ99" s="365">
        <v>201.2363425175906</v>
      </c>
      <c r="BR99" s="365">
        <v>210.85570387923337</v>
      </c>
      <c r="BS99" s="365">
        <v>212.5736095026482</v>
      </c>
      <c r="BT99" s="365">
        <v>219.67337465171312</v>
      </c>
      <c r="BU99" s="365">
        <v>226.78687590740134</v>
      </c>
      <c r="BV99" s="365">
        <v>288.20102386919712</v>
      </c>
      <c r="BW99" s="365">
        <v>200.67384257458173</v>
      </c>
      <c r="BX99" s="365">
        <v>148.59124887704064</v>
      </c>
      <c r="BY99" s="365">
        <v>186.58704731202349</v>
      </c>
      <c r="BZ99" s="365">
        <v>141.74647986032622</v>
      </c>
      <c r="CA99" s="365">
        <v>198.63952963698864</v>
      </c>
      <c r="CB99" s="365">
        <v>158.0283180851203</v>
      </c>
      <c r="CC99" s="365">
        <v>260.32185890789094</v>
      </c>
      <c r="CD99" s="365">
        <v>190.04048135247189</v>
      </c>
      <c r="CE99" s="365">
        <v>197.76759284194537</v>
      </c>
      <c r="CF99" s="365">
        <v>185.48570464093652</v>
      </c>
      <c r="CG99" s="365">
        <v>198.77561541060498</v>
      </c>
      <c r="CH99" s="365">
        <v>233.47500708347931</v>
      </c>
      <c r="CI99" s="365">
        <v>183.35303613805797</v>
      </c>
      <c r="CJ99" s="365">
        <v>166.32859712454234</v>
      </c>
      <c r="CK99" s="365">
        <v>196.69298459968292</v>
      </c>
      <c r="CL99" s="365">
        <v>143.63940043697374</v>
      </c>
      <c r="CM99" s="365">
        <v>202.12209006674559</v>
      </c>
      <c r="CN99" s="365">
        <v>108.07492765592238</v>
      </c>
      <c r="CO99" s="365">
        <v>126.02401973562118</v>
      </c>
      <c r="CP99" s="365">
        <v>125.16895220135297</v>
      </c>
      <c r="CQ99" s="365">
        <v>169.07831886189797</v>
      </c>
      <c r="CR99" s="365">
        <v>170.8601955361423</v>
      </c>
      <c r="CS99" s="365">
        <v>139.2467340676283</v>
      </c>
      <c r="CT99" s="365">
        <v>129.81309796285598</v>
      </c>
      <c r="CU99" s="365">
        <v>131.17810700826163</v>
      </c>
      <c r="CV99" s="365">
        <v>132.75449098578198</v>
      </c>
      <c r="CW99" s="365">
        <v>176.61545868541472</v>
      </c>
      <c r="CX99" s="365">
        <v>121.92343677741709</v>
      </c>
      <c r="CY99" s="365">
        <v>137.39355584315678</v>
      </c>
      <c r="CZ99" s="365">
        <v>126.8168708956488</v>
      </c>
      <c r="DA99" s="365">
        <v>109.04255309970353</v>
      </c>
      <c r="DB99" s="365">
        <v>149.31540767190816</v>
      </c>
      <c r="DC99" s="365">
        <v>114.78795553515009</v>
      </c>
      <c r="DD99" s="365">
        <v>165.6815967834456</v>
      </c>
      <c r="DE99" s="365">
        <v>129.6233563240643</v>
      </c>
      <c r="DF99" s="365">
        <v>111.34925891808886</v>
      </c>
      <c r="DG99" s="365">
        <v>138.34527624831102</v>
      </c>
      <c r="DH99" s="365">
        <v>143.2598854394061</v>
      </c>
      <c r="DI99" s="365">
        <v>149.1974876427104</v>
      </c>
      <c r="DJ99" s="365">
        <v>217.1337314440174</v>
      </c>
      <c r="DK99" s="365">
        <f t="shared" si="11"/>
        <v>140.61787336421887</v>
      </c>
      <c r="DL99" s="365">
        <f t="shared" si="12"/>
        <v>161.98409519361121</v>
      </c>
      <c r="DM99" s="382">
        <f t="shared" si="13"/>
        <v>15.194527778165877</v>
      </c>
      <c r="DN99" s="346"/>
    </row>
    <row r="100" spans="1:119" ht="88.5">
      <c r="A100" s="327">
        <v>287.29824241155785</v>
      </c>
      <c r="B100" s="397" t="s">
        <v>83</v>
      </c>
      <c r="C100" s="327"/>
      <c r="AA100" s="396">
        <v>119.43823196417047</v>
      </c>
      <c r="AB100" s="395">
        <v>113.8315170336169</v>
      </c>
      <c r="AC100" s="395">
        <v>106.44377618332727</v>
      </c>
      <c r="AD100" s="395">
        <v>118.62076383638562</v>
      </c>
      <c r="AE100" s="395">
        <v>104.6600991660904</v>
      </c>
      <c r="AF100" s="393">
        <v>104.2336202817429</v>
      </c>
      <c r="AG100" s="389">
        <v>110.00758681897774</v>
      </c>
      <c r="AH100" s="394">
        <v>136.68368256914184</v>
      </c>
      <c r="AI100" s="393">
        <v>98.395913227308085</v>
      </c>
      <c r="AJ100" s="391">
        <v>100.20042010240621</v>
      </c>
      <c r="AK100" s="392">
        <v>107.40986755383355</v>
      </c>
      <c r="AL100" s="391">
        <v>131.56699095601081</v>
      </c>
      <c r="AM100" s="390">
        <v>130.96689493128753</v>
      </c>
      <c r="AN100" s="389">
        <v>111.68823821657939</v>
      </c>
      <c r="AO100" s="389">
        <v>110.41353485062838</v>
      </c>
      <c r="AP100" s="389">
        <v>121.55456673515806</v>
      </c>
      <c r="AQ100" s="389">
        <v>105.48942294974678</v>
      </c>
      <c r="AR100" s="389">
        <v>111.18762602411729</v>
      </c>
      <c r="AS100" s="387">
        <v>116.16636947361408</v>
      </c>
      <c r="AT100" s="388">
        <v>115.40898433021057</v>
      </c>
      <c r="AU100" s="387">
        <v>104.86765421318492</v>
      </c>
      <c r="AV100" s="386">
        <v>116.50331272471887</v>
      </c>
      <c r="AW100" s="385">
        <v>104.38116334172474</v>
      </c>
      <c r="AX100" s="385">
        <v>131.0660936424506</v>
      </c>
      <c r="AY100" s="384">
        <v>110.02038370192101</v>
      </c>
      <c r="AZ100" s="383">
        <v>99.110278053183535</v>
      </c>
      <c r="BA100" s="383">
        <v>121.5552118940374</v>
      </c>
      <c r="BB100" s="383">
        <v>101.07129699896269</v>
      </c>
      <c r="BC100" s="383">
        <v>114.46684694214507</v>
      </c>
      <c r="BD100" s="383">
        <v>114.46684694214507</v>
      </c>
      <c r="BE100" s="365">
        <v>121.55518562292286</v>
      </c>
      <c r="BF100" s="365">
        <v>130.57589933381928</v>
      </c>
      <c r="BG100" s="365">
        <v>108.76728345064802</v>
      </c>
      <c r="BH100" s="365">
        <v>106.94500386686818</v>
      </c>
      <c r="BI100" s="365">
        <v>116.93502508795909</v>
      </c>
      <c r="BJ100" s="365">
        <v>123.38507753401872</v>
      </c>
      <c r="BK100" s="365">
        <v>152.91240022319252</v>
      </c>
      <c r="BL100" s="365">
        <v>113.55236174279651</v>
      </c>
      <c r="BM100" s="365">
        <v>110.03358737002181</v>
      </c>
      <c r="BN100" s="365">
        <v>110.94036932973363</v>
      </c>
      <c r="BO100" s="365">
        <v>125.84065743384213</v>
      </c>
      <c r="BP100" s="365">
        <v>114.42553963824265</v>
      </c>
      <c r="BQ100" s="365">
        <v>126.02622370720147</v>
      </c>
      <c r="BR100" s="365">
        <v>125.48439557245979</v>
      </c>
      <c r="BS100" s="365">
        <v>124.99056276228691</v>
      </c>
      <c r="BT100" s="365">
        <v>122.0902021700773</v>
      </c>
      <c r="BU100" s="365">
        <v>114.66940351783916</v>
      </c>
      <c r="BV100" s="365">
        <v>122.68653595916965</v>
      </c>
      <c r="BW100" s="365">
        <v>124.78695413272534</v>
      </c>
      <c r="BX100" s="365">
        <v>117.47595007528392</v>
      </c>
      <c r="BY100" s="365">
        <v>115.97406190663384</v>
      </c>
      <c r="BZ100" s="365">
        <v>116.88421538378714</v>
      </c>
      <c r="CA100" s="365">
        <v>155.51403927639586</v>
      </c>
      <c r="CB100" s="365">
        <v>137.80240049696059</v>
      </c>
      <c r="CC100" s="365">
        <v>166.57618032356348</v>
      </c>
      <c r="CD100" s="365">
        <v>114.69360255257322</v>
      </c>
      <c r="CE100" s="365">
        <v>110.51624870598123</v>
      </c>
      <c r="CF100" s="365">
        <v>127.64509918500124</v>
      </c>
      <c r="CG100" s="365">
        <v>137.4141543292628</v>
      </c>
      <c r="CH100" s="365">
        <v>153.45623466228676</v>
      </c>
      <c r="CI100" s="365">
        <v>134.28867525874278</v>
      </c>
      <c r="CJ100" s="365">
        <v>120.68108458155153</v>
      </c>
      <c r="CK100" s="365">
        <v>125.67632094078057</v>
      </c>
      <c r="CL100" s="365">
        <v>129.55108188330669</v>
      </c>
      <c r="CM100" s="365">
        <v>140.08385471509769</v>
      </c>
      <c r="CN100" s="365">
        <v>123.69872448980281</v>
      </c>
      <c r="CO100" s="365">
        <v>142.90610725042387</v>
      </c>
      <c r="CP100" s="365">
        <v>112.03354372143342</v>
      </c>
      <c r="CQ100" s="365">
        <v>112.73036048976952</v>
      </c>
      <c r="CR100" s="365">
        <v>121.67552011247288</v>
      </c>
      <c r="CS100" s="365">
        <v>119.19185562999752</v>
      </c>
      <c r="CT100" s="365">
        <v>155.71181517536914</v>
      </c>
      <c r="CU100" s="365">
        <v>131.32592295752048</v>
      </c>
      <c r="CV100" s="365">
        <v>138.01081875292084</v>
      </c>
      <c r="CW100" s="365">
        <v>143.6983336833035</v>
      </c>
      <c r="CX100" s="365">
        <v>149.68772047918461</v>
      </c>
      <c r="CY100" s="365">
        <v>151.37333215668713</v>
      </c>
      <c r="CZ100" s="365">
        <v>146.39720410941069</v>
      </c>
      <c r="DA100" s="365">
        <v>146.84915478139337</v>
      </c>
      <c r="DB100" s="365">
        <v>134.532536644289</v>
      </c>
      <c r="DC100" s="365">
        <v>126.11636483946799</v>
      </c>
      <c r="DD100" s="365">
        <v>129.4368791921668</v>
      </c>
      <c r="DE100" s="365">
        <v>131.68413251400477</v>
      </c>
      <c r="DF100" s="365">
        <v>167.18154352239935</v>
      </c>
      <c r="DG100" s="365">
        <v>150.95062242057224</v>
      </c>
      <c r="DH100" s="365">
        <v>150.30409314106728</v>
      </c>
      <c r="DI100" s="365">
        <v>152.68753127664098</v>
      </c>
      <c r="DJ100" s="365">
        <v>152.75137652193601</v>
      </c>
      <c r="DK100" s="365">
        <f t="shared" si="11"/>
        <v>140.68069896823235</v>
      </c>
      <c r="DL100" s="365">
        <f t="shared" si="12"/>
        <v>151.67340584005413</v>
      </c>
      <c r="DM100" s="382">
        <f t="shared" si="13"/>
        <v>7.8139410398466058</v>
      </c>
      <c r="DN100" s="346"/>
    </row>
    <row r="101" spans="1:119" ht="88.5">
      <c r="A101" s="327">
        <v>54.831600021748166</v>
      </c>
      <c r="B101" s="397" t="s">
        <v>82</v>
      </c>
      <c r="C101" s="327"/>
      <c r="AA101" s="396">
        <v>141.6957337871228</v>
      </c>
      <c r="AB101" s="395">
        <v>120.69882449531266</v>
      </c>
      <c r="AC101" s="395">
        <v>120.34482157051413</v>
      </c>
      <c r="AD101" s="395">
        <v>161.45969417713599</v>
      </c>
      <c r="AE101" s="395">
        <v>168.10375788601581</v>
      </c>
      <c r="AF101" s="393">
        <v>144.88412219303603</v>
      </c>
      <c r="AG101" s="389">
        <v>116.51809198948223</v>
      </c>
      <c r="AH101" s="394">
        <v>93.906789630485392</v>
      </c>
      <c r="AI101" s="393">
        <v>103.94616012438088</v>
      </c>
      <c r="AJ101" s="391">
        <v>94.956911350932984</v>
      </c>
      <c r="AK101" s="392">
        <v>109.087748120228</v>
      </c>
      <c r="AL101" s="391">
        <v>115.77142115923746</v>
      </c>
      <c r="AM101" s="390">
        <v>147.80430063086192</v>
      </c>
      <c r="AN101" s="389">
        <v>131.91744954275771</v>
      </c>
      <c r="AO101" s="389">
        <v>150.56197919129966</v>
      </c>
      <c r="AP101" s="389">
        <v>149.07959585205117</v>
      </c>
      <c r="AQ101" s="389">
        <v>150.61069847598145</v>
      </c>
      <c r="AR101" s="389">
        <v>133.02069258122859</v>
      </c>
      <c r="AS101" s="387">
        <v>134.72996195470529</v>
      </c>
      <c r="AT101" s="388">
        <v>101.2105263416222</v>
      </c>
      <c r="AU101" s="387">
        <v>98.321763177975456</v>
      </c>
      <c r="AV101" s="386">
        <v>134.56610401699186</v>
      </c>
      <c r="AW101" s="385">
        <v>115.72831939265228</v>
      </c>
      <c r="AX101" s="385">
        <v>150.24300869980931</v>
      </c>
      <c r="AY101" s="384">
        <v>157.85034948143019</v>
      </c>
      <c r="AZ101" s="383">
        <v>147.54139652722117</v>
      </c>
      <c r="BA101" s="383">
        <v>181.82478798539555</v>
      </c>
      <c r="BB101" s="383">
        <v>180.06879582054771</v>
      </c>
      <c r="BC101" s="383">
        <v>197.26254430873695</v>
      </c>
      <c r="BD101" s="383">
        <v>197.26254430873695</v>
      </c>
      <c r="BE101" s="365">
        <v>158.97337316176964</v>
      </c>
      <c r="BF101" s="365">
        <v>143.54962954278656</v>
      </c>
      <c r="BG101" s="365">
        <v>111.78191031168856</v>
      </c>
      <c r="BH101" s="365">
        <v>147.63725642995783</v>
      </c>
      <c r="BI101" s="365">
        <v>131.76173703567753</v>
      </c>
      <c r="BJ101" s="365">
        <v>162.25434005653142</v>
      </c>
      <c r="BK101" s="365">
        <v>173.57990144118807</v>
      </c>
      <c r="BL101" s="365">
        <v>185.95101119023622</v>
      </c>
      <c r="BM101" s="365">
        <v>206.14214090570158</v>
      </c>
      <c r="BN101" s="365">
        <v>195.61000645299242</v>
      </c>
      <c r="BO101" s="365">
        <v>215.02210263085786</v>
      </c>
      <c r="BP101" s="365">
        <v>190.18427733835699</v>
      </c>
      <c r="BQ101" s="365">
        <v>172.6122495066227</v>
      </c>
      <c r="BR101" s="365">
        <v>155.12786349177557</v>
      </c>
      <c r="BS101" s="365">
        <v>146.55378104315639</v>
      </c>
      <c r="BT101" s="365">
        <v>150.48055401338803</v>
      </c>
      <c r="BU101" s="365">
        <v>146.67011461776551</v>
      </c>
      <c r="BV101" s="365">
        <v>163.37683739931072</v>
      </c>
      <c r="BW101" s="365">
        <v>181.92633701588954</v>
      </c>
      <c r="BX101" s="365">
        <v>179.45704870030744</v>
      </c>
      <c r="BY101" s="365">
        <v>188.76562802729418</v>
      </c>
      <c r="BZ101" s="365">
        <v>187.2642184467781</v>
      </c>
      <c r="CA101" s="365">
        <v>185.28226202517232</v>
      </c>
      <c r="CB101" s="365">
        <v>176.43252840824863</v>
      </c>
      <c r="CC101" s="365">
        <v>155.90338982204108</v>
      </c>
      <c r="CD101" s="365">
        <v>128.39274422456657</v>
      </c>
      <c r="CE101" s="365">
        <v>144.72199055277952</v>
      </c>
      <c r="CF101" s="365">
        <v>135.42090843801321</v>
      </c>
      <c r="CG101" s="365">
        <v>147.79181005833055</v>
      </c>
      <c r="CH101" s="365">
        <v>144.82824092330281</v>
      </c>
      <c r="CI101" s="365">
        <v>169.08982205375335</v>
      </c>
      <c r="CJ101" s="365">
        <v>153.279329036772</v>
      </c>
      <c r="CK101" s="365">
        <v>178.99057597162275</v>
      </c>
      <c r="CL101" s="365">
        <v>154.80751099845318</v>
      </c>
      <c r="CM101" s="365">
        <v>177.34431271771672</v>
      </c>
      <c r="CN101" s="365">
        <v>161.7253026103688</v>
      </c>
      <c r="CO101" s="365">
        <v>163.77626207418041</v>
      </c>
      <c r="CP101" s="365">
        <v>117.11695961825311</v>
      </c>
      <c r="CQ101" s="365">
        <v>128.51751964887336</v>
      </c>
      <c r="CR101" s="365">
        <v>128.4211778633759</v>
      </c>
      <c r="CS101" s="365">
        <v>142.9233920875954</v>
      </c>
      <c r="CT101" s="365">
        <v>145.61288088836588</v>
      </c>
      <c r="CU101" s="365">
        <v>169.09069639495223</v>
      </c>
      <c r="CV101" s="365">
        <v>169.13652797009328</v>
      </c>
      <c r="CW101" s="365">
        <v>189.69486574064612</v>
      </c>
      <c r="CX101" s="365">
        <v>181.95702541910399</v>
      </c>
      <c r="CY101" s="365">
        <v>196.48753663681683</v>
      </c>
      <c r="CZ101" s="365">
        <v>191.52735639918555</v>
      </c>
      <c r="DA101" s="365">
        <v>124.20907404568767</v>
      </c>
      <c r="DB101" s="365">
        <v>154.61753450316087</v>
      </c>
      <c r="DC101" s="365">
        <v>153.17076085547649</v>
      </c>
      <c r="DD101" s="365">
        <v>132.25663119495027</v>
      </c>
      <c r="DE101" s="365">
        <v>170.58055920995301</v>
      </c>
      <c r="DF101" s="365">
        <v>139.49477927168144</v>
      </c>
      <c r="DG101" s="365">
        <v>170.21401226346723</v>
      </c>
      <c r="DH101" s="365">
        <v>169.44639076078855</v>
      </c>
      <c r="DI101" s="365">
        <v>181.97348571417237</v>
      </c>
      <c r="DJ101" s="365">
        <v>168.0692429917824</v>
      </c>
      <c r="DK101" s="365">
        <f t="shared" si="11"/>
        <v>177.46977888119889</v>
      </c>
      <c r="DL101" s="365">
        <f t="shared" si="12"/>
        <v>172.42578293255264</v>
      </c>
      <c r="DM101" s="382">
        <f t="shared" si="13"/>
        <v>-2.8421717660575774</v>
      </c>
      <c r="DN101" s="346"/>
    </row>
    <row r="102" spans="1:119" ht="88.5">
      <c r="A102" s="327">
        <v>104.37127258396379</v>
      </c>
      <c r="B102" s="397" t="s">
        <v>81</v>
      </c>
      <c r="C102" s="327"/>
      <c r="AA102" s="396">
        <v>169.65611086944517</v>
      </c>
      <c r="AB102" s="395">
        <v>132.15909610781225</v>
      </c>
      <c r="AC102" s="395">
        <v>138.76858430182526</v>
      </c>
      <c r="AD102" s="395">
        <v>156.23072495774272</v>
      </c>
      <c r="AE102" s="395">
        <v>234.28288046679421</v>
      </c>
      <c r="AF102" s="393">
        <v>145.44523682386108</v>
      </c>
      <c r="AG102" s="389">
        <v>185.50285248022163</v>
      </c>
      <c r="AH102" s="394">
        <v>126.57095854122116</v>
      </c>
      <c r="AI102" s="393">
        <v>144.69071685435065</v>
      </c>
      <c r="AJ102" s="391">
        <v>137.980421742945</v>
      </c>
      <c r="AK102" s="392">
        <v>118.06890399117414</v>
      </c>
      <c r="AL102" s="391">
        <v>153.24629449266851</v>
      </c>
      <c r="AM102" s="390">
        <v>148.17688483342067</v>
      </c>
      <c r="AN102" s="389">
        <v>115.40782991760526</v>
      </c>
      <c r="AO102" s="389">
        <v>175.99641438889739</v>
      </c>
      <c r="AP102" s="389">
        <v>160.57171144891146</v>
      </c>
      <c r="AQ102" s="389">
        <v>144.50001744288608</v>
      </c>
      <c r="AR102" s="389">
        <v>130.25464758257459</v>
      </c>
      <c r="AS102" s="387">
        <v>162.77483580349133</v>
      </c>
      <c r="AT102" s="388">
        <v>114.81182810850332</v>
      </c>
      <c r="AU102" s="387">
        <v>115.02626747720159</v>
      </c>
      <c r="AV102" s="386">
        <v>125.06403763571515</v>
      </c>
      <c r="AW102" s="385">
        <v>102.90169134736561</v>
      </c>
      <c r="AX102" s="385">
        <v>127.29564957073339</v>
      </c>
      <c r="AY102" s="384">
        <v>136.41544760594599</v>
      </c>
      <c r="AZ102" s="383">
        <v>125.85300226191609</v>
      </c>
      <c r="BA102" s="383">
        <v>131.53223925336039</v>
      </c>
      <c r="BB102" s="383">
        <v>143.94944295179127</v>
      </c>
      <c r="BC102" s="383">
        <v>171.07167594347936</v>
      </c>
      <c r="BD102" s="383">
        <v>171.07167594347936</v>
      </c>
      <c r="BE102" s="365">
        <v>137.02968359929238</v>
      </c>
      <c r="BF102" s="365">
        <v>128.68763122130994</v>
      </c>
      <c r="BG102" s="365">
        <v>112.05249287741727</v>
      </c>
      <c r="BH102" s="365">
        <v>158.5820111265966</v>
      </c>
      <c r="BI102" s="365">
        <v>150.1784396545296</v>
      </c>
      <c r="BJ102" s="365">
        <v>173.91830355390982</v>
      </c>
      <c r="BK102" s="365">
        <v>156.22538556788879</v>
      </c>
      <c r="BL102" s="365">
        <v>153.79153181592096</v>
      </c>
      <c r="BM102" s="365">
        <v>174.25249266036155</v>
      </c>
      <c r="BN102" s="365">
        <v>123.04867800329799</v>
      </c>
      <c r="BO102" s="365">
        <v>172.2791196253244</v>
      </c>
      <c r="BP102" s="365">
        <v>149.63284410286735</v>
      </c>
      <c r="BQ102" s="365">
        <v>166.19983633554671</v>
      </c>
      <c r="BR102" s="365">
        <v>166.14842310140193</v>
      </c>
      <c r="BS102" s="365">
        <v>169.54899345454567</v>
      </c>
      <c r="BT102" s="365">
        <v>138.18028287705346</v>
      </c>
      <c r="BU102" s="365">
        <v>162.97301661911658</v>
      </c>
      <c r="BV102" s="365">
        <v>176.60722159763347</v>
      </c>
      <c r="BW102" s="365">
        <v>151.74745113106715</v>
      </c>
      <c r="BX102" s="365">
        <v>133.88161954300463</v>
      </c>
      <c r="BY102" s="365">
        <v>139.07299662507774</v>
      </c>
      <c r="BZ102" s="365">
        <v>128.10921236076791</v>
      </c>
      <c r="CA102" s="365">
        <v>143.21038765835132</v>
      </c>
      <c r="CB102" s="365">
        <v>146.19063373184383</v>
      </c>
      <c r="CC102" s="365">
        <v>152.4192351484254</v>
      </c>
      <c r="CD102" s="365">
        <v>119.47800998443115</v>
      </c>
      <c r="CE102" s="365">
        <v>130.23673126583324</v>
      </c>
      <c r="CF102" s="365">
        <v>113.90959103929059</v>
      </c>
      <c r="CG102" s="365">
        <v>157.61656867991695</v>
      </c>
      <c r="CH102" s="365">
        <v>136.48011854815198</v>
      </c>
      <c r="CI102" s="365">
        <v>132.37438872663606</v>
      </c>
      <c r="CJ102" s="365">
        <v>131.92937215925906</v>
      </c>
      <c r="CK102" s="365">
        <v>145.18937829815926</v>
      </c>
      <c r="CL102" s="365">
        <v>138.73399992673313</v>
      </c>
      <c r="CM102" s="365">
        <v>152.04249336620376</v>
      </c>
      <c r="CN102" s="365">
        <v>141.48282372152289</v>
      </c>
      <c r="CO102" s="365">
        <v>154.68243951962228</v>
      </c>
      <c r="CP102" s="365">
        <v>121.06608002362356</v>
      </c>
      <c r="CQ102" s="365">
        <v>117.25220021088887</v>
      </c>
      <c r="CR102" s="365">
        <v>125.7367385603942</v>
      </c>
      <c r="CS102" s="365">
        <v>141.61147784268471</v>
      </c>
      <c r="CT102" s="365">
        <v>144.67246799553649</v>
      </c>
      <c r="CU102" s="365">
        <v>138.3242647158186</v>
      </c>
      <c r="CV102" s="365">
        <v>115.93716502796113</v>
      </c>
      <c r="CW102" s="365">
        <v>144.22275750715224</v>
      </c>
      <c r="CX102" s="365">
        <v>121.14462017196519</v>
      </c>
      <c r="CY102" s="365">
        <v>170.01086942225598</v>
      </c>
      <c r="CZ102" s="365">
        <v>137.01193012326303</v>
      </c>
      <c r="DA102" s="365">
        <v>146.66756739514651</v>
      </c>
      <c r="DB102" s="365">
        <v>126.11478290180527</v>
      </c>
      <c r="DC102" s="365">
        <v>134.92776262596365</v>
      </c>
      <c r="DD102" s="365">
        <v>131.2270948393724</v>
      </c>
      <c r="DE102" s="365">
        <v>122.21148911075483</v>
      </c>
      <c r="DF102" s="365">
        <v>166.42738639720847</v>
      </c>
      <c r="DG102" s="365">
        <v>135.71461497740361</v>
      </c>
      <c r="DH102" s="365">
        <v>149.38219839209157</v>
      </c>
      <c r="DI102" s="365">
        <v>162.15695452246092</v>
      </c>
      <c r="DJ102" s="365">
        <v>123.83989696129285</v>
      </c>
      <c r="DK102" s="365">
        <f t="shared" si="11"/>
        <v>129.90720185572428</v>
      </c>
      <c r="DL102" s="365">
        <f t="shared" si="12"/>
        <v>142.77341621331223</v>
      </c>
      <c r="DM102" s="382">
        <f t="shared" si="13"/>
        <v>9.9041578709987412</v>
      </c>
      <c r="DN102" s="346"/>
    </row>
    <row r="103" spans="1:119" ht="88.5">
      <c r="A103" s="327">
        <v>190.3157992924092</v>
      </c>
      <c r="B103" s="397" t="s">
        <v>80</v>
      </c>
      <c r="C103" s="327"/>
      <c r="AA103" s="396">
        <v>79.489741205565934</v>
      </c>
      <c r="AB103" s="395">
        <v>64.023052715549341</v>
      </c>
      <c r="AC103" s="395">
        <v>71.70339167179192</v>
      </c>
      <c r="AD103" s="395">
        <v>57.824968687947745</v>
      </c>
      <c r="AE103" s="395">
        <v>32.322955097737307</v>
      </c>
      <c r="AF103" s="393">
        <v>38.766121137356109</v>
      </c>
      <c r="AG103" s="389">
        <v>53.716443808625804</v>
      </c>
      <c r="AH103" s="394">
        <v>55.83793913916594</v>
      </c>
      <c r="AI103" s="393">
        <v>51.720506739327725</v>
      </c>
      <c r="AJ103" s="391">
        <v>57.619732633035127</v>
      </c>
      <c r="AK103" s="392">
        <v>60.494450288356006</v>
      </c>
      <c r="AL103" s="391">
        <v>126.18416020771167</v>
      </c>
      <c r="AM103" s="390">
        <v>113.5609493377309</v>
      </c>
      <c r="AN103" s="389">
        <v>24.835112429728376</v>
      </c>
      <c r="AO103" s="389">
        <v>63.590122113087176</v>
      </c>
      <c r="AP103" s="389">
        <v>61.016850180976931</v>
      </c>
      <c r="AQ103" s="389">
        <v>49.170395262839399</v>
      </c>
      <c r="AR103" s="389">
        <v>59.284626626009853</v>
      </c>
      <c r="AS103" s="387">
        <v>55.932876496118915</v>
      </c>
      <c r="AT103" s="388">
        <v>52.138461944125709</v>
      </c>
      <c r="AU103" s="387">
        <v>79.058011751919054</v>
      </c>
      <c r="AV103" s="386">
        <v>104.74117733236278</v>
      </c>
      <c r="AW103" s="385">
        <v>46.612693508505188</v>
      </c>
      <c r="AX103" s="385">
        <v>218.88780832446895</v>
      </c>
      <c r="AY103" s="384">
        <v>38.862445175104945</v>
      </c>
      <c r="AZ103" s="383">
        <v>36.633566277302918</v>
      </c>
      <c r="BA103" s="383">
        <v>102.43166160995315</v>
      </c>
      <c r="BB103" s="383">
        <v>64.324081225253792</v>
      </c>
      <c r="BC103" s="383">
        <v>45.458041748267014</v>
      </c>
      <c r="BD103" s="383">
        <v>45.458041748267014</v>
      </c>
      <c r="BE103" s="365">
        <v>51.289894715624783</v>
      </c>
      <c r="BF103" s="365">
        <v>61.490703563994437</v>
      </c>
      <c r="BG103" s="365">
        <v>59.41481832350312</v>
      </c>
      <c r="BH103" s="365">
        <v>127.56409597712587</v>
      </c>
      <c r="BI103" s="365">
        <v>88.868155464201223</v>
      </c>
      <c r="BJ103" s="365">
        <v>70.123868189393491</v>
      </c>
      <c r="BK103" s="365">
        <v>48.334876909756836</v>
      </c>
      <c r="BL103" s="365">
        <v>49.716199864770751</v>
      </c>
      <c r="BM103" s="365">
        <v>49.296945409264644</v>
      </c>
      <c r="BN103" s="365">
        <v>56.890033904280429</v>
      </c>
      <c r="BO103" s="365">
        <v>60.267882886162994</v>
      </c>
      <c r="BP103" s="365">
        <v>53.879349192802174</v>
      </c>
      <c r="BQ103" s="365">
        <v>63.953553845187827</v>
      </c>
      <c r="BR103" s="365">
        <v>57.386521746725968</v>
      </c>
      <c r="BS103" s="365">
        <v>58.957959573340943</v>
      </c>
      <c r="BT103" s="365">
        <v>49.919356383971071</v>
      </c>
      <c r="BU103" s="365">
        <v>59.084694458376156</v>
      </c>
      <c r="BV103" s="365">
        <v>78.635085211939185</v>
      </c>
      <c r="BW103" s="365">
        <v>75.095244650757806</v>
      </c>
      <c r="BX103" s="365">
        <v>34.59153804511417</v>
      </c>
      <c r="BY103" s="365">
        <v>39.899445649804228</v>
      </c>
      <c r="BZ103" s="365">
        <v>55.907545774138171</v>
      </c>
      <c r="CA103" s="365">
        <v>78.204319737099055</v>
      </c>
      <c r="CB103" s="365">
        <v>44.106270610944954</v>
      </c>
      <c r="CC103" s="365">
        <v>39.724406445448196</v>
      </c>
      <c r="CD103" s="365">
        <v>45.774165254779561</v>
      </c>
      <c r="CE103" s="365">
        <v>44.12225025564868</v>
      </c>
      <c r="CF103" s="365">
        <v>81.032403272674259</v>
      </c>
      <c r="CG103" s="365">
        <v>92.017410405563169</v>
      </c>
      <c r="CH103" s="365">
        <v>114.33892655721672</v>
      </c>
      <c r="CI103" s="365">
        <v>47.883678683836628</v>
      </c>
      <c r="CJ103" s="365">
        <v>33.346979726213057</v>
      </c>
      <c r="CK103" s="365">
        <v>44.836753143252061</v>
      </c>
      <c r="CL103" s="365">
        <v>54.876094630571281</v>
      </c>
      <c r="CM103" s="365">
        <v>44.736570601282892</v>
      </c>
      <c r="CN103" s="365">
        <v>51.062500601663658</v>
      </c>
      <c r="CO103" s="365">
        <v>64.378450452934203</v>
      </c>
      <c r="CP103" s="365">
        <v>44.023207349591416</v>
      </c>
      <c r="CQ103" s="365">
        <v>33.377575711780644</v>
      </c>
      <c r="CR103" s="365">
        <v>51.49057063280565</v>
      </c>
      <c r="CS103" s="365">
        <v>45.774950843639282</v>
      </c>
      <c r="CT103" s="365">
        <v>77.38365461929213</v>
      </c>
      <c r="CU103" s="365">
        <v>84.064876818147582</v>
      </c>
      <c r="CV103" s="365">
        <v>85.214333231901293</v>
      </c>
      <c r="CW103" s="365">
        <v>78.123525919738782</v>
      </c>
      <c r="CX103" s="365">
        <v>78.644355224167256</v>
      </c>
      <c r="CY103" s="365">
        <v>67.035485070003048</v>
      </c>
      <c r="CZ103" s="365">
        <v>93.509491871020472</v>
      </c>
      <c r="DA103" s="365">
        <v>69.801184564160081</v>
      </c>
      <c r="DB103" s="365">
        <v>57.879966505426601</v>
      </c>
      <c r="DC103" s="365">
        <v>71.610826982753409</v>
      </c>
      <c r="DD103" s="365">
        <v>71.127279754828066</v>
      </c>
      <c r="DE103" s="365">
        <v>42.453731830024964</v>
      </c>
      <c r="DF103" s="365">
        <v>90.741825418434075</v>
      </c>
      <c r="DG103" s="365">
        <v>38.316637341307192</v>
      </c>
      <c r="DH103" s="365">
        <v>41.649423126913064</v>
      </c>
      <c r="DI103" s="365">
        <v>97.037301207323466</v>
      </c>
      <c r="DJ103" s="365">
        <v>34.167317990420635</v>
      </c>
      <c r="DK103" s="365">
        <f t="shared" si="11"/>
        <v>81.511772798488735</v>
      </c>
      <c r="DL103" s="365">
        <f t="shared" si="12"/>
        <v>52.792669916491086</v>
      </c>
      <c r="DM103" s="382">
        <f t="shared" si="13"/>
        <v>-35.233073574532924</v>
      </c>
      <c r="DN103" s="346"/>
    </row>
    <row r="104" spans="1:119" ht="88.5">
      <c r="A104" s="327">
        <v>166.87889071141734</v>
      </c>
      <c r="B104" s="397" t="s">
        <v>79</v>
      </c>
      <c r="C104" s="327"/>
      <c r="AA104" s="396">
        <v>139.09705933847334</v>
      </c>
      <c r="AB104" s="395">
        <v>164.94558677970485</v>
      </c>
      <c r="AC104" s="395">
        <v>133.70279728586252</v>
      </c>
      <c r="AD104" s="395">
        <v>139.09705933847334</v>
      </c>
      <c r="AE104" s="395">
        <v>156.31010604849459</v>
      </c>
      <c r="AF104" s="393">
        <v>181.7783053163302</v>
      </c>
      <c r="AG104" s="389">
        <v>173.43824991064562</v>
      </c>
      <c r="AH104" s="394">
        <v>271.94732407115094</v>
      </c>
      <c r="AI104" s="393">
        <v>67.187206620443021</v>
      </c>
      <c r="AJ104" s="391">
        <v>206.7832829077353</v>
      </c>
      <c r="AK104" s="392">
        <v>82.513756853321667</v>
      </c>
      <c r="AL104" s="391">
        <v>227.66344754165075</v>
      </c>
      <c r="AM104" s="390">
        <v>90.687606508243988</v>
      </c>
      <c r="AN104" s="389">
        <v>104.83763952980505</v>
      </c>
      <c r="AO104" s="389">
        <v>241.01692236878441</v>
      </c>
      <c r="AP104" s="389">
        <v>115.71091992225435</v>
      </c>
      <c r="AQ104" s="389">
        <v>183.85566562459221</v>
      </c>
      <c r="AR104" s="389">
        <v>138.78772271603583</v>
      </c>
      <c r="AS104" s="387">
        <v>55.81310253750452</v>
      </c>
      <c r="AT104" s="388">
        <v>149.90355136917699</v>
      </c>
      <c r="AU104" s="387">
        <v>136.25676178422461</v>
      </c>
      <c r="AV104" s="386">
        <v>106.54821396249993</v>
      </c>
      <c r="AW104" s="385">
        <v>146.2875602832377</v>
      </c>
      <c r="AX104" s="385">
        <v>193.08419384226451</v>
      </c>
      <c r="AY104" s="384">
        <v>334.78199051678337</v>
      </c>
      <c r="AZ104" s="383">
        <v>101.2578301892699</v>
      </c>
      <c r="BA104" s="383">
        <v>320.58705846132921</v>
      </c>
      <c r="BB104" s="383">
        <v>162.96109475642845</v>
      </c>
      <c r="BC104" s="383">
        <v>162.96109475642845</v>
      </c>
      <c r="BD104" s="383">
        <v>162.96109475642845</v>
      </c>
      <c r="BE104" s="365">
        <v>110.56576751334623</v>
      </c>
      <c r="BF104" s="365">
        <v>107.84232932396466</v>
      </c>
      <c r="BG104" s="365">
        <v>83.798149151919759</v>
      </c>
      <c r="BH104" s="365">
        <v>48.502417143133194</v>
      </c>
      <c r="BI104" s="365">
        <v>79.202206697635276</v>
      </c>
      <c r="BJ104" s="365">
        <v>126.2757787911011</v>
      </c>
      <c r="BK104" s="365">
        <v>94.182423427326086</v>
      </c>
      <c r="BL104" s="365">
        <v>75.78607662907298</v>
      </c>
      <c r="BM104" s="365">
        <v>118.86390122287476</v>
      </c>
      <c r="BN104" s="365">
        <v>199.74145207130653</v>
      </c>
      <c r="BO104" s="365">
        <v>124.07096897022956</v>
      </c>
      <c r="BP104" s="365">
        <v>166.26198943390332</v>
      </c>
      <c r="BQ104" s="365">
        <v>318.56173300583026</v>
      </c>
      <c r="BR104" s="365">
        <v>98.405557166489473</v>
      </c>
      <c r="BS104" s="365">
        <v>214.56193942492479</v>
      </c>
      <c r="BT104" s="365">
        <v>293.5182105951157</v>
      </c>
      <c r="BU104" s="365">
        <v>148.03343127283694</v>
      </c>
      <c r="BV104" s="365">
        <v>126.24076543784446</v>
      </c>
      <c r="BW104" s="365">
        <v>64.38751124429858</v>
      </c>
      <c r="BX104" s="365">
        <v>135.90384879440199</v>
      </c>
      <c r="BY104" s="365">
        <v>287.29824241155785</v>
      </c>
      <c r="BZ104" s="365">
        <v>124.31462910827761</v>
      </c>
      <c r="CA104" s="365">
        <v>233.16004056477448</v>
      </c>
      <c r="CB104" s="365">
        <v>98.342507911492248</v>
      </c>
      <c r="CC104" s="365">
        <v>102.58206006335031</v>
      </c>
      <c r="CD104" s="365">
        <v>170.01433512636191</v>
      </c>
      <c r="CE104" s="365">
        <v>112.77405574878129</v>
      </c>
      <c r="CF104" s="365">
        <v>129.79875865213708</v>
      </c>
      <c r="CG104" s="365">
        <v>135.29790680500284</v>
      </c>
      <c r="CH104" s="365">
        <v>122.65940013018646</v>
      </c>
      <c r="CI104" s="365">
        <v>141.86616509994047</v>
      </c>
      <c r="CJ104" s="365">
        <v>120.80514463307105</v>
      </c>
      <c r="CK104" s="365">
        <v>128.0381459602666</v>
      </c>
      <c r="CL104" s="365">
        <v>183.83482394558661</v>
      </c>
      <c r="CM104" s="365">
        <v>170.61785327664833</v>
      </c>
      <c r="CN104" s="365">
        <v>130.24112212016621</v>
      </c>
      <c r="CO104" s="365">
        <v>109.7209522989171</v>
      </c>
      <c r="CP104" s="365">
        <v>158.99238131969787</v>
      </c>
      <c r="CQ104" s="365">
        <v>216.78792214240877</v>
      </c>
      <c r="CR104" s="365">
        <v>293.23460142623088</v>
      </c>
      <c r="CS104" s="365">
        <v>333.98589294151844</v>
      </c>
      <c r="CT104" s="365">
        <v>148.55770435129466</v>
      </c>
      <c r="CU104" s="365">
        <v>180.2824148334571</v>
      </c>
      <c r="CV104" s="365">
        <v>171.68390799926587</v>
      </c>
      <c r="CW104" s="365">
        <v>201.46610340971668</v>
      </c>
      <c r="CX104" s="365">
        <v>127.20691460329</v>
      </c>
      <c r="CY104" s="365">
        <v>127.20691460329</v>
      </c>
      <c r="CZ104" s="365">
        <v>264.53638663198751</v>
      </c>
      <c r="DA104" s="365">
        <v>117.16194852301906</v>
      </c>
      <c r="DB104" s="365">
        <v>157.2122796830879</v>
      </c>
      <c r="DC104" s="365">
        <v>196.47162085118796</v>
      </c>
      <c r="DD104" s="365">
        <v>226.62241139764117</v>
      </c>
      <c r="DE104" s="365">
        <v>132.39902371973176</v>
      </c>
      <c r="DF104" s="365">
        <v>207.96411555073419</v>
      </c>
      <c r="DG104" s="365">
        <v>129.18024597853537</v>
      </c>
      <c r="DH104" s="365">
        <v>221.90601057804824</v>
      </c>
      <c r="DI104" s="365">
        <v>203.99343826436206</v>
      </c>
      <c r="DJ104" s="365">
        <v>93.612105276867766</v>
      </c>
      <c r="DK104" s="365">
        <f t="shared" si="11"/>
        <v>170.15983521143241</v>
      </c>
      <c r="DL104" s="365">
        <f t="shared" si="12"/>
        <v>162.17295002445334</v>
      </c>
      <c r="DM104" s="382">
        <f t="shared" si="13"/>
        <v>-4.6937546554713938</v>
      </c>
      <c r="DN104" s="346"/>
    </row>
    <row r="105" spans="1:119" ht="88.5">
      <c r="A105" s="327">
        <v>131.36401630085163</v>
      </c>
      <c r="B105" s="397" t="s">
        <v>78</v>
      </c>
      <c r="C105" s="327"/>
      <c r="AA105" s="396">
        <v>82.518331883452561</v>
      </c>
      <c r="AB105" s="395">
        <v>50.630264654897644</v>
      </c>
      <c r="AC105" s="395">
        <v>76.008753468962425</v>
      </c>
      <c r="AD105" s="395">
        <v>79.976368779727792</v>
      </c>
      <c r="AE105" s="395">
        <v>81.667898888793545</v>
      </c>
      <c r="AF105" s="393">
        <v>111.10490716850565</v>
      </c>
      <c r="AG105" s="389">
        <v>141.161518401065</v>
      </c>
      <c r="AH105" s="394">
        <v>63.890521846409733</v>
      </c>
      <c r="AI105" s="393">
        <v>102.9076280121601</v>
      </c>
      <c r="AJ105" s="391">
        <v>45.984706491718235</v>
      </c>
      <c r="AK105" s="392">
        <v>96.189276384580637</v>
      </c>
      <c r="AL105" s="391">
        <v>77.833457929710093</v>
      </c>
      <c r="AM105" s="390">
        <v>78.388836840162881</v>
      </c>
      <c r="AN105" s="389">
        <v>67.718938639997162</v>
      </c>
      <c r="AO105" s="389">
        <v>111.66307059742878</v>
      </c>
      <c r="AP105" s="389">
        <v>82.692858072843251</v>
      </c>
      <c r="AQ105" s="389">
        <v>73.458287847009998</v>
      </c>
      <c r="AR105" s="389">
        <v>76.813060164794209</v>
      </c>
      <c r="AS105" s="387">
        <v>70.658993259352172</v>
      </c>
      <c r="AT105" s="388">
        <v>86.31268923261365</v>
      </c>
      <c r="AU105" s="387">
        <v>105.84520582719082</v>
      </c>
      <c r="AV105" s="386">
        <v>84.152249438386448</v>
      </c>
      <c r="AW105" s="385">
        <v>119.555562233239</v>
      </c>
      <c r="AX105" s="385">
        <v>75.768843757016782</v>
      </c>
      <c r="AY105" s="384">
        <v>93.520163902649628</v>
      </c>
      <c r="AZ105" s="383">
        <v>90.630264621298707</v>
      </c>
      <c r="BA105" s="383">
        <v>80.22775108526595</v>
      </c>
      <c r="BB105" s="383">
        <v>85.998445530222256</v>
      </c>
      <c r="BC105" s="383">
        <v>70.455833013769194</v>
      </c>
      <c r="BD105" s="383">
        <v>70.455833013769194</v>
      </c>
      <c r="BE105" s="365">
        <v>84.328815416162044</v>
      </c>
      <c r="BF105" s="365">
        <v>122.9137183675502</v>
      </c>
      <c r="BG105" s="365">
        <v>109.77395804742328</v>
      </c>
      <c r="BH105" s="365">
        <v>170.9317604223254</v>
      </c>
      <c r="BI105" s="365">
        <v>116.78419733959419</v>
      </c>
      <c r="BJ105" s="365">
        <v>71.293752012648156</v>
      </c>
      <c r="BK105" s="365">
        <v>73.970011738751154</v>
      </c>
      <c r="BL105" s="365">
        <v>75.515025355046362</v>
      </c>
      <c r="BM105" s="365">
        <v>112.83007754719964</v>
      </c>
      <c r="BN105" s="365">
        <v>88.898602338531845</v>
      </c>
      <c r="BO105" s="365">
        <v>60.60096121977589</v>
      </c>
      <c r="BP105" s="365">
        <v>67.822714270700459</v>
      </c>
      <c r="BQ105" s="365">
        <v>104.3899470368964</v>
      </c>
      <c r="BR105" s="365">
        <v>130.66695128982332</v>
      </c>
      <c r="BS105" s="365">
        <v>69.291432972834073</v>
      </c>
      <c r="BT105" s="365">
        <v>158.89876330830634</v>
      </c>
      <c r="BU105" s="365">
        <v>75.3139194108917</v>
      </c>
      <c r="BV105" s="365">
        <v>67.144628454177493</v>
      </c>
      <c r="BW105" s="365">
        <v>73.414237148270246</v>
      </c>
      <c r="BX105" s="365">
        <v>76.005601178406536</v>
      </c>
      <c r="BY105" s="365">
        <v>54.831600021748166</v>
      </c>
      <c r="BZ105" s="365">
        <v>68.21903756343589</v>
      </c>
      <c r="CA105" s="365">
        <v>106.48535353234429</v>
      </c>
      <c r="CB105" s="365">
        <v>122.19371182409031</v>
      </c>
      <c r="CC105" s="365">
        <v>122.16062424596389</v>
      </c>
      <c r="CD105" s="365">
        <v>128.35246388596147</v>
      </c>
      <c r="CE105" s="365">
        <v>121.02375987930618</v>
      </c>
      <c r="CF105" s="365">
        <v>165.18230535163968</v>
      </c>
      <c r="CG105" s="365">
        <v>87.54835226412473</v>
      </c>
      <c r="CH105" s="365">
        <v>84.536191448205372</v>
      </c>
      <c r="CI105" s="365">
        <v>100.6908001015271</v>
      </c>
      <c r="CJ105" s="365">
        <v>107.06094050764679</v>
      </c>
      <c r="CK105" s="365">
        <v>151.37190807268527</v>
      </c>
      <c r="CL105" s="365">
        <v>145.03325355107151</v>
      </c>
      <c r="CM105" s="365">
        <v>211.13609314830759</v>
      </c>
      <c r="CN105" s="365">
        <v>128.13349177244575</v>
      </c>
      <c r="CO105" s="365">
        <v>248.32308539164322</v>
      </c>
      <c r="CP105" s="365">
        <v>154.39320580582992</v>
      </c>
      <c r="CQ105" s="365">
        <v>232.15025303134269</v>
      </c>
      <c r="CR105" s="365">
        <v>225.94512946698384</v>
      </c>
      <c r="CS105" s="365">
        <v>204.80919522000806</v>
      </c>
      <c r="CT105" s="365">
        <v>169.26321092424723</v>
      </c>
      <c r="CU105" s="365">
        <v>192.88162423295239</v>
      </c>
      <c r="CV105" s="365">
        <v>201.9842542768358</v>
      </c>
      <c r="CW105" s="365">
        <v>194.73214536272411</v>
      </c>
      <c r="CX105" s="365">
        <v>215.77764603749594</v>
      </c>
      <c r="CY105" s="365">
        <v>206.89605571474544</v>
      </c>
      <c r="CZ105" s="365">
        <v>196.5741269312845</v>
      </c>
      <c r="DA105" s="365">
        <v>259.92087886504777</v>
      </c>
      <c r="DB105" s="365">
        <v>232.17679277676424</v>
      </c>
      <c r="DC105" s="365">
        <v>363.53982656035384</v>
      </c>
      <c r="DD105" s="365">
        <v>259.15876996841831</v>
      </c>
      <c r="DE105" s="365">
        <v>193.97164993987968</v>
      </c>
      <c r="DF105" s="365">
        <v>138.8591191321282</v>
      </c>
      <c r="DG105" s="365">
        <v>221.64230848332008</v>
      </c>
      <c r="DH105" s="365">
        <v>174.39881442131323</v>
      </c>
      <c r="DI105" s="365">
        <v>261.73127696227772</v>
      </c>
      <c r="DJ105" s="365">
        <v>177.00225053316711</v>
      </c>
      <c r="DK105" s="365">
        <f t="shared" si="11"/>
        <v>201.34391747750209</v>
      </c>
      <c r="DL105" s="365">
        <f t="shared" si="12"/>
        <v>208.69366260001954</v>
      </c>
      <c r="DM105" s="382">
        <f t="shared" si="13"/>
        <v>3.6503437573865094</v>
      </c>
      <c r="DN105" s="346"/>
    </row>
    <row r="106" spans="1:119" ht="88.5">
      <c r="A106" s="327">
        <v>155.88676569582981</v>
      </c>
      <c r="B106" s="397" t="s">
        <v>77</v>
      </c>
      <c r="C106" s="327"/>
      <c r="AA106" s="396">
        <v>139.87937555739433</v>
      </c>
      <c r="AB106" s="395">
        <v>143.3149132305486</v>
      </c>
      <c r="AC106" s="395">
        <v>136.36466843315807</v>
      </c>
      <c r="AD106" s="395">
        <v>129.73499061098565</v>
      </c>
      <c r="AE106" s="395">
        <v>76.882444685168053</v>
      </c>
      <c r="AF106" s="393">
        <v>96.265343413669839</v>
      </c>
      <c r="AG106" s="389">
        <v>96.821752765202149</v>
      </c>
      <c r="AH106" s="394">
        <v>73.022726548989837</v>
      </c>
      <c r="AI106" s="393">
        <v>109.00841256885063</v>
      </c>
      <c r="AJ106" s="391">
        <v>89.278749463862539</v>
      </c>
      <c r="AK106" s="392">
        <v>137.07017265925629</v>
      </c>
      <c r="AL106" s="391">
        <v>129.31028525237593</v>
      </c>
      <c r="AM106" s="390">
        <v>107.08704938656807</v>
      </c>
      <c r="AN106" s="389">
        <v>99.42299290146363</v>
      </c>
      <c r="AO106" s="389">
        <v>86.251888542412956</v>
      </c>
      <c r="AP106" s="389">
        <v>90.993389921503194</v>
      </c>
      <c r="AQ106" s="389">
        <v>113.53058220048447</v>
      </c>
      <c r="AR106" s="389">
        <v>119.12718210682438</v>
      </c>
      <c r="AS106" s="387">
        <v>119.12718210682438</v>
      </c>
      <c r="AT106" s="388">
        <v>116.28572897106622</v>
      </c>
      <c r="AU106" s="387">
        <v>129.03252685882566</v>
      </c>
      <c r="AV106" s="386">
        <v>151.55911612244654</v>
      </c>
      <c r="AW106" s="385">
        <v>164.22260474106534</v>
      </c>
      <c r="AX106" s="385">
        <v>138.95576812995111</v>
      </c>
      <c r="AY106" s="384">
        <v>158.978840548357</v>
      </c>
      <c r="AZ106" s="383">
        <v>158.978840548357</v>
      </c>
      <c r="BA106" s="383">
        <v>96.881281155892665</v>
      </c>
      <c r="BB106" s="383">
        <v>107.2386213599827</v>
      </c>
      <c r="BC106" s="383">
        <v>115.61974595926384</v>
      </c>
      <c r="BD106" s="383">
        <v>115.61974595926384</v>
      </c>
      <c r="BE106" s="365">
        <v>114.6817818997407</v>
      </c>
      <c r="BF106" s="365">
        <v>123.24157411019262</v>
      </c>
      <c r="BG106" s="365">
        <v>118.25379469951847</v>
      </c>
      <c r="BH106" s="365">
        <v>122.06263196073259</v>
      </c>
      <c r="BI106" s="365">
        <v>122.40169685784377</v>
      </c>
      <c r="BJ106" s="365">
        <v>116.48904569287049</v>
      </c>
      <c r="BK106" s="365">
        <v>109.10859650792673</v>
      </c>
      <c r="BL106" s="365">
        <v>110.51725913206089</v>
      </c>
      <c r="BM106" s="365">
        <v>111.7988718023777</v>
      </c>
      <c r="BN106" s="365">
        <v>112.69198340043165</v>
      </c>
      <c r="BO106" s="365">
        <v>112.07852433306074</v>
      </c>
      <c r="BP106" s="365">
        <v>99.483427153208453</v>
      </c>
      <c r="BQ106" s="365">
        <v>97.334982861067147</v>
      </c>
      <c r="BR106" s="365">
        <v>89.550240202075756</v>
      </c>
      <c r="BS106" s="365">
        <v>108.9547904588686</v>
      </c>
      <c r="BT106" s="365">
        <v>101.29613245820657</v>
      </c>
      <c r="BU106" s="365">
        <v>120.42291653773</v>
      </c>
      <c r="BV106" s="365">
        <v>131.4179368259361</v>
      </c>
      <c r="BW106" s="365">
        <v>129.70575111087908</v>
      </c>
      <c r="BX106" s="365">
        <v>108.56196357694276</v>
      </c>
      <c r="BY106" s="365">
        <v>104.37127258396379</v>
      </c>
      <c r="BZ106" s="365">
        <v>106.79506744035444</v>
      </c>
      <c r="CA106" s="365">
        <v>106.17473378305354</v>
      </c>
      <c r="CB106" s="365">
        <v>111.04248532735525</v>
      </c>
      <c r="CC106" s="365">
        <v>116.514951472619</v>
      </c>
      <c r="CD106" s="365">
        <v>116.514951472619</v>
      </c>
      <c r="CE106" s="365">
        <v>122.57079657474559</v>
      </c>
      <c r="CF106" s="365">
        <v>108.1579742382486</v>
      </c>
      <c r="CG106" s="365">
        <v>125.00090609605174</v>
      </c>
      <c r="CH106" s="365">
        <v>118.79270989188929</v>
      </c>
      <c r="CI106" s="365">
        <v>163.34571385956883</v>
      </c>
      <c r="CJ106" s="365">
        <v>149.76365913364683</v>
      </c>
      <c r="CK106" s="365">
        <v>141.78011321364303</v>
      </c>
      <c r="CL106" s="365">
        <v>135.34020406752504</v>
      </c>
      <c r="CM106" s="365">
        <v>156.86943032195543</v>
      </c>
      <c r="CN106" s="365">
        <v>161.79690529926614</v>
      </c>
      <c r="CO106" s="365">
        <v>123.04072383528599</v>
      </c>
      <c r="CP106" s="365">
        <v>117.07877503007003</v>
      </c>
      <c r="CQ106" s="365">
        <v>116.0568625005957</v>
      </c>
      <c r="CR106" s="365">
        <v>116.66972339208881</v>
      </c>
      <c r="CS106" s="365">
        <v>116.24523954294058</v>
      </c>
      <c r="CT106" s="365">
        <v>131.7720326171079</v>
      </c>
      <c r="CU106" s="365">
        <v>169.51222718960889</v>
      </c>
      <c r="CV106" s="365">
        <v>156.92463477495107</v>
      </c>
      <c r="CW106" s="365">
        <v>151.76595234640442</v>
      </c>
      <c r="CX106" s="365">
        <v>149.61225936465871</v>
      </c>
      <c r="CY106" s="365">
        <v>163.81703193809824</v>
      </c>
      <c r="CZ106" s="365">
        <v>173.18158610185222</v>
      </c>
      <c r="DA106" s="365">
        <v>176.7670573894035</v>
      </c>
      <c r="DB106" s="365">
        <v>198.18008401610183</v>
      </c>
      <c r="DC106" s="365">
        <v>197.51316484247891</v>
      </c>
      <c r="DD106" s="365">
        <v>195.21289630171421</v>
      </c>
      <c r="DE106" s="365">
        <v>197.6753959724785</v>
      </c>
      <c r="DF106" s="365">
        <v>205.22971601245845</v>
      </c>
      <c r="DG106" s="365">
        <v>174.23284511775984</v>
      </c>
      <c r="DH106" s="365">
        <v>172.82814385202562</v>
      </c>
      <c r="DI106" s="365">
        <v>159.381122778422</v>
      </c>
      <c r="DJ106" s="365">
        <v>157.11887031205538</v>
      </c>
      <c r="DK106" s="365">
        <f t="shared" si="11"/>
        <v>156.95376841890578</v>
      </c>
      <c r="DL106" s="365">
        <f t="shared" si="12"/>
        <v>165.89024551506571</v>
      </c>
      <c r="DM106" s="382">
        <f t="shared" si="13"/>
        <v>5.6937002444622298</v>
      </c>
      <c r="DN106" s="346"/>
      <c r="DO106" s="398"/>
    </row>
    <row r="107" spans="1:119" s="399" customFormat="1" ht="88.5" hidden="1" customHeight="1">
      <c r="A107" s="399">
        <v>112.85031020089524</v>
      </c>
      <c r="B107" s="417" t="s">
        <v>76</v>
      </c>
      <c r="D107" s="416"/>
      <c r="E107" s="416"/>
      <c r="F107" s="416"/>
      <c r="G107" s="416"/>
      <c r="H107" s="416"/>
      <c r="I107" s="416"/>
      <c r="J107" s="416"/>
      <c r="K107" s="416"/>
      <c r="L107" s="416"/>
      <c r="M107" s="416"/>
      <c r="N107" s="416"/>
      <c r="O107" s="416"/>
      <c r="P107" s="416"/>
      <c r="Q107" s="416"/>
      <c r="R107" s="416"/>
      <c r="S107" s="416"/>
      <c r="T107" s="416"/>
      <c r="U107" s="416"/>
      <c r="V107" s="416"/>
      <c r="W107" s="416"/>
      <c r="X107" s="416"/>
      <c r="Y107" s="416"/>
      <c r="Z107" s="416"/>
      <c r="AA107" s="415">
        <v>328.32208821647072</v>
      </c>
      <c r="AB107" s="414">
        <v>231.75696081559155</v>
      </c>
      <c r="AC107" s="414">
        <v>220.41603839907313</v>
      </c>
      <c r="AD107" s="414">
        <v>227.89678137698732</v>
      </c>
      <c r="AE107" s="414">
        <v>195.68650456374067</v>
      </c>
      <c r="AF107" s="412">
        <v>191.69426692062899</v>
      </c>
      <c r="AG107" s="408">
        <v>218.97329691419822</v>
      </c>
      <c r="AH107" s="413">
        <v>243.0089721092447</v>
      </c>
      <c r="AI107" s="412">
        <v>228.74950902636041</v>
      </c>
      <c r="AJ107" s="410">
        <v>233.90918872513689</v>
      </c>
      <c r="AK107" s="411">
        <v>224.3583090331683</v>
      </c>
      <c r="AL107" s="410">
        <v>189.64936331065547</v>
      </c>
      <c r="AM107" s="409">
        <v>125.78120727075239</v>
      </c>
      <c r="AN107" s="408">
        <v>201.52592338912856</v>
      </c>
      <c r="AO107" s="408">
        <v>300.70816748027079</v>
      </c>
      <c r="AP107" s="408">
        <v>271.18004148132002</v>
      </c>
      <c r="AQ107" s="408">
        <v>201.30836411067321</v>
      </c>
      <c r="AR107" s="408">
        <v>166.75795899867541</v>
      </c>
      <c r="AS107" s="406">
        <v>193.36842733153946</v>
      </c>
      <c r="AT107" s="407">
        <v>192.55000905492471</v>
      </c>
      <c r="AU107" s="406">
        <v>186.98765706413079</v>
      </c>
      <c r="AV107" s="405">
        <v>235.98930080087197</v>
      </c>
      <c r="AW107" s="404">
        <v>245.88689469567143</v>
      </c>
      <c r="AX107" s="404">
        <v>214.04731995296106</v>
      </c>
      <c r="AY107" s="403">
        <v>231.66891869314819</v>
      </c>
      <c r="AZ107" s="402">
        <v>198.79300104605406</v>
      </c>
      <c r="BA107" s="402">
        <v>247.30650036144479</v>
      </c>
      <c r="BB107" s="402">
        <v>456.47258285802855</v>
      </c>
      <c r="BC107" s="402">
        <v>195.93906585756764</v>
      </c>
      <c r="BD107" s="402">
        <v>195.93906585756764</v>
      </c>
      <c r="BE107" s="401">
        <v>216.69067800038681</v>
      </c>
      <c r="BF107" s="401">
        <v>205.48964928775857</v>
      </c>
      <c r="BG107" s="401">
        <v>145.11378737308624</v>
      </c>
      <c r="BH107" s="401">
        <v>203.12011905012051</v>
      </c>
      <c r="BI107" s="401">
        <v>180.38980286359165</v>
      </c>
      <c r="BJ107" s="401">
        <v>225.13096306360839</v>
      </c>
      <c r="BK107" s="401">
        <v>230.07930619300578</v>
      </c>
      <c r="BL107" s="401">
        <v>220.45802193447673</v>
      </c>
      <c r="BM107" s="401">
        <v>241.00359918913318</v>
      </c>
      <c r="BN107" s="401">
        <v>218.48710252897024</v>
      </c>
      <c r="BO107" s="401">
        <v>224.21737183725048</v>
      </c>
      <c r="BP107" s="401">
        <v>226.11520741192047</v>
      </c>
      <c r="BQ107" s="401">
        <v>198.35242474532137</v>
      </c>
      <c r="BR107" s="401">
        <v>220.24973593250002</v>
      </c>
      <c r="BS107" s="401">
        <v>211.56211840264842</v>
      </c>
      <c r="BT107" s="401">
        <v>217.84176252510051</v>
      </c>
      <c r="BU107" s="401">
        <v>198.88287335748737</v>
      </c>
      <c r="BV107" s="401">
        <v>206.9601710081397</v>
      </c>
      <c r="BW107" s="401">
        <v>214.15337369741033</v>
      </c>
      <c r="BX107" s="401">
        <v>214.15337369741033</v>
      </c>
      <c r="BY107" s="401">
        <v>190.3157992924092</v>
      </c>
      <c r="BZ107" s="401">
        <v>191.77371633314573</v>
      </c>
      <c r="CA107" s="401">
        <v>204.7526985040611</v>
      </c>
      <c r="CB107" s="401">
        <v>173.39138362006742</v>
      </c>
      <c r="CC107" s="401">
        <v>185.04913162419456</v>
      </c>
      <c r="CD107" s="401">
        <v>171.31349896410953</v>
      </c>
      <c r="CE107" s="401">
        <v>155.03101924691583</v>
      </c>
      <c r="CF107" s="401">
        <v>225.76475404079977</v>
      </c>
      <c r="CG107" s="401">
        <v>187.97727007227076</v>
      </c>
      <c r="CH107" s="401">
        <v>193.51786552454479</v>
      </c>
      <c r="CI107" s="401">
        <v>204.47568669119428</v>
      </c>
      <c r="CJ107" s="401">
        <v>136.24921733358204</v>
      </c>
      <c r="CK107" s="401">
        <v>201.05775545707701</v>
      </c>
      <c r="CL107" s="401">
        <v>355.6851941246976</v>
      </c>
      <c r="CM107" s="401">
        <v>618.07246744231782</v>
      </c>
      <c r="CN107" s="401">
        <v>793.13671812097652</v>
      </c>
      <c r="CO107" s="401">
        <v>494.75659717084864</v>
      </c>
      <c r="CP107" s="401">
        <v>363.52051306515972</v>
      </c>
      <c r="CQ107" s="401">
        <v>334.86624275232685</v>
      </c>
      <c r="CR107" s="401">
        <v>283.19319016960225</v>
      </c>
      <c r="CS107" s="401">
        <v>315.58611144602048</v>
      </c>
      <c r="CT107" s="401">
        <v>262.5083020216415</v>
      </c>
      <c r="CU107" s="401">
        <v>495.73169555183682</v>
      </c>
      <c r="CV107" s="401">
        <v>332.21466706708827</v>
      </c>
      <c r="CW107" s="401">
        <v>318.09591576849232</v>
      </c>
      <c r="CX107" s="401">
        <v>359.00211601914862</v>
      </c>
      <c r="CY107" s="401">
        <v>692.07343677470919</v>
      </c>
      <c r="CZ107" s="401">
        <v>458.28951082019057</v>
      </c>
      <c r="DA107" s="401">
        <v>535.95059884611408</v>
      </c>
      <c r="DB107" s="401">
        <v>499.84194006343546</v>
      </c>
      <c r="DC107" s="401">
        <v>574.00785405941065</v>
      </c>
      <c r="DD107" s="401">
        <v>1157.0409269144172</v>
      </c>
      <c r="DE107" s="401">
        <v>1062.8242492195259</v>
      </c>
      <c r="DF107" s="401">
        <v>1147.7521126298643</v>
      </c>
      <c r="DG107" s="401">
        <v>607.64396714506245</v>
      </c>
      <c r="DH107" s="401">
        <v>394.66747839542938</v>
      </c>
      <c r="DI107" s="401">
        <v>735.62635742417842</v>
      </c>
      <c r="DJ107" s="401">
        <v>841.97196697491881</v>
      </c>
      <c r="DK107" s="365">
        <f t="shared" si="11"/>
        <v>376.26109860164149</v>
      </c>
      <c r="DL107" s="365">
        <f t="shared" si="12"/>
        <v>644.97744248489721</v>
      </c>
      <c r="DM107" s="400">
        <f t="shared" si="13"/>
        <v>71.417519611229736</v>
      </c>
      <c r="DN107" s="346"/>
    </row>
    <row r="108" spans="1:119" s="399" customFormat="1" ht="88.5" hidden="1" customHeight="1">
      <c r="A108" s="399">
        <v>134.76922442945187</v>
      </c>
      <c r="B108" s="417" t="s">
        <v>75</v>
      </c>
      <c r="D108" s="416"/>
      <c r="E108" s="416"/>
      <c r="F108" s="416"/>
      <c r="G108" s="416"/>
      <c r="H108" s="416"/>
      <c r="I108" s="416"/>
      <c r="J108" s="416"/>
      <c r="K108" s="416"/>
      <c r="L108" s="416"/>
      <c r="M108" s="416"/>
      <c r="N108" s="416"/>
      <c r="O108" s="416"/>
      <c r="P108" s="416"/>
      <c r="Q108" s="416"/>
      <c r="R108" s="416"/>
      <c r="S108" s="416"/>
      <c r="T108" s="416"/>
      <c r="U108" s="416"/>
      <c r="V108" s="416"/>
      <c r="W108" s="416"/>
      <c r="X108" s="416"/>
      <c r="Y108" s="416"/>
      <c r="Z108" s="416"/>
      <c r="AA108" s="415">
        <v>78.408462713489584</v>
      </c>
      <c r="AB108" s="414">
        <v>88.820776882297935</v>
      </c>
      <c r="AC108" s="414">
        <v>127.25104406627024</v>
      </c>
      <c r="AD108" s="414">
        <v>100.28821675817655</v>
      </c>
      <c r="AE108" s="414">
        <v>92.050056453790063</v>
      </c>
      <c r="AF108" s="412">
        <v>188.79315604284989</v>
      </c>
      <c r="AG108" s="408">
        <v>87.843387539748775</v>
      </c>
      <c r="AH108" s="413">
        <v>86.414280551148025</v>
      </c>
      <c r="AI108" s="412">
        <v>192.90846845795983</v>
      </c>
      <c r="AJ108" s="410">
        <v>123.56565740475108</v>
      </c>
      <c r="AK108" s="411">
        <v>88.000589959464065</v>
      </c>
      <c r="AL108" s="410">
        <v>99.079467878702474</v>
      </c>
      <c r="AM108" s="409">
        <v>96.073902831880446</v>
      </c>
      <c r="AN108" s="408">
        <v>89.617292889083302</v>
      </c>
      <c r="AO108" s="408">
        <v>98.872072338416444</v>
      </c>
      <c r="AP108" s="408">
        <v>168.04331135623309</v>
      </c>
      <c r="AQ108" s="408">
        <v>69.938996076392513</v>
      </c>
      <c r="AR108" s="408">
        <v>178.93961523449789</v>
      </c>
      <c r="AS108" s="406">
        <v>178.93961523449789</v>
      </c>
      <c r="AT108" s="407">
        <v>153.95648753769501</v>
      </c>
      <c r="AU108" s="406">
        <v>153.95648753769501</v>
      </c>
      <c r="AV108" s="405">
        <v>101.02651613591152</v>
      </c>
      <c r="AW108" s="404">
        <v>87.637162636622762</v>
      </c>
      <c r="AX108" s="404">
        <v>142.29922268088825</v>
      </c>
      <c r="AY108" s="403">
        <v>94.059755514083847</v>
      </c>
      <c r="AZ108" s="402">
        <v>78.043688264757535</v>
      </c>
      <c r="BA108" s="402">
        <v>154.3632494523257</v>
      </c>
      <c r="BB108" s="402">
        <v>98.98548347677449</v>
      </c>
      <c r="BC108" s="402">
        <v>114.41658006794391</v>
      </c>
      <c r="BD108" s="402">
        <v>114.41658006794391</v>
      </c>
      <c r="BE108" s="401">
        <v>114.41658006794391</v>
      </c>
      <c r="BF108" s="401">
        <v>112.1160112911594</v>
      </c>
      <c r="BG108" s="401">
        <v>112.1160112911594</v>
      </c>
      <c r="BH108" s="401">
        <v>112.1160112911594</v>
      </c>
      <c r="BI108" s="401">
        <v>142.97461063045299</v>
      </c>
      <c r="BJ108" s="401">
        <v>142.97461063045299</v>
      </c>
      <c r="BK108" s="401">
        <v>147.92598545149212</v>
      </c>
      <c r="BL108" s="401">
        <v>130.28749328358757</v>
      </c>
      <c r="BM108" s="401">
        <v>130.28749328358757</v>
      </c>
      <c r="BN108" s="401">
        <v>130.28749328358757</v>
      </c>
      <c r="BO108" s="401">
        <v>119.54287142934726</v>
      </c>
      <c r="BP108" s="401">
        <v>72.326816717208715</v>
      </c>
      <c r="BQ108" s="401">
        <v>97.446782114221335</v>
      </c>
      <c r="BR108" s="401">
        <v>140.00482461994179</v>
      </c>
      <c r="BS108" s="401">
        <v>122.36345524365862</v>
      </c>
      <c r="BT108" s="401">
        <v>95.766039486707257</v>
      </c>
      <c r="BU108" s="401">
        <v>102.03081990156167</v>
      </c>
      <c r="BV108" s="401">
        <v>99.610296820988253</v>
      </c>
      <c r="BW108" s="401">
        <v>83.573743565807277</v>
      </c>
      <c r="BX108" s="401">
        <v>113.63014488752954</v>
      </c>
      <c r="BY108" s="401">
        <v>166.87889071141734</v>
      </c>
      <c r="BZ108" s="401">
        <v>92.121677704071445</v>
      </c>
      <c r="CA108" s="401">
        <v>128.01843141574258</v>
      </c>
      <c r="CB108" s="401">
        <v>164.14640539448359</v>
      </c>
      <c r="CC108" s="401">
        <v>106.87665246790085</v>
      </c>
      <c r="CD108" s="401">
        <v>92.159658627817336</v>
      </c>
      <c r="CE108" s="401">
        <v>134.30966932338711</v>
      </c>
      <c r="CF108" s="401">
        <v>206.07461881896754</v>
      </c>
      <c r="CG108" s="401">
        <v>177.09488253324142</v>
      </c>
      <c r="CH108" s="401">
        <v>93.491310999706442</v>
      </c>
      <c r="CI108" s="401">
        <v>105.72018508274246</v>
      </c>
      <c r="CJ108" s="401">
        <v>118.84805060597661</v>
      </c>
      <c r="CK108" s="401">
        <v>100.81107891104548</v>
      </c>
      <c r="CL108" s="401">
        <v>156.02304500289375</v>
      </c>
      <c r="CM108" s="401">
        <v>98.098949526495915</v>
      </c>
      <c r="CN108" s="401">
        <v>151.06639985461524</v>
      </c>
      <c r="CO108" s="401">
        <v>146.27121936139932</v>
      </c>
      <c r="CP108" s="401">
        <v>103.18307093699831</v>
      </c>
      <c r="CQ108" s="401">
        <v>98.36679039870171</v>
      </c>
      <c r="CR108" s="401">
        <v>51.597724611227036</v>
      </c>
      <c r="CS108" s="401">
        <v>98.668785126445187</v>
      </c>
      <c r="CT108" s="401">
        <v>66.524163605710299</v>
      </c>
      <c r="CU108" s="401">
        <v>178.33990048484827</v>
      </c>
      <c r="CV108" s="401">
        <v>137.72747162442136</v>
      </c>
      <c r="CW108" s="401">
        <v>116.89476934265579</v>
      </c>
      <c r="CX108" s="401">
        <v>129.77322848355499</v>
      </c>
      <c r="CY108" s="401">
        <v>94.260403387763546</v>
      </c>
      <c r="CZ108" s="401">
        <v>75.996312989197591</v>
      </c>
      <c r="DA108" s="401">
        <v>125.2364957186992</v>
      </c>
      <c r="DB108" s="401">
        <v>151.58143573978626</v>
      </c>
      <c r="DC108" s="401">
        <v>127.75694596749001</v>
      </c>
      <c r="DD108" s="401">
        <v>133.29601435133077</v>
      </c>
      <c r="DE108" s="401">
        <v>141.06066155420774</v>
      </c>
      <c r="DF108" s="401">
        <v>142.5673515058574</v>
      </c>
      <c r="DG108" s="401">
        <v>122.73982683886868</v>
      </c>
      <c r="DH108" s="401">
        <v>112.29961664124299</v>
      </c>
      <c r="DI108" s="401">
        <v>143.48609398744966</v>
      </c>
      <c r="DJ108" s="401">
        <v>105.39341262277328</v>
      </c>
      <c r="DK108" s="365">
        <f t="shared" si="11"/>
        <v>140.68384248387008</v>
      </c>
      <c r="DL108" s="365">
        <f t="shared" si="12"/>
        <v>120.97973752258365</v>
      </c>
      <c r="DM108" s="400">
        <f t="shared" si="13"/>
        <v>-14.005947387700601</v>
      </c>
      <c r="DN108" s="346"/>
    </row>
    <row r="109" spans="1:119" ht="88.5">
      <c r="A109" s="327">
        <v>176.93224394883336</v>
      </c>
      <c r="B109" s="397" t="s">
        <v>74</v>
      </c>
      <c r="C109" s="327"/>
      <c r="AA109" s="396">
        <v>130.81388693060467</v>
      </c>
      <c r="AB109" s="395">
        <v>130.24421898528323</v>
      </c>
      <c r="AC109" s="395">
        <v>138.61391906497903</v>
      </c>
      <c r="AD109" s="395">
        <v>125.89760758359587</v>
      </c>
      <c r="AE109" s="395">
        <v>89.704651472769385</v>
      </c>
      <c r="AF109" s="393">
        <v>134.18590931324016</v>
      </c>
      <c r="AG109" s="389">
        <v>101.55731261767745</v>
      </c>
      <c r="AH109" s="394">
        <v>88.511890520033177</v>
      </c>
      <c r="AI109" s="393">
        <v>145.51976202345369</v>
      </c>
      <c r="AJ109" s="391">
        <v>110.32770685588928</v>
      </c>
      <c r="AK109" s="392">
        <v>125.7904623493622</v>
      </c>
      <c r="AL109" s="391">
        <v>122.78131881058516</v>
      </c>
      <c r="AM109" s="390">
        <v>104.49801415931708</v>
      </c>
      <c r="AN109" s="389">
        <v>102.59028104551112</v>
      </c>
      <c r="AO109" s="389">
        <v>104.3235814946928</v>
      </c>
      <c r="AP109" s="389">
        <v>129.02050401936566</v>
      </c>
      <c r="AQ109" s="389">
        <v>104.16547661011587</v>
      </c>
      <c r="AR109" s="389">
        <v>142.73987750353095</v>
      </c>
      <c r="AS109" s="387">
        <v>144.44392395661183</v>
      </c>
      <c r="AT109" s="388">
        <v>134.12005831147832</v>
      </c>
      <c r="AU109" s="387">
        <v>141.31224924738166</v>
      </c>
      <c r="AV109" s="386">
        <v>139.59342959819017</v>
      </c>
      <c r="AW109" s="385">
        <v>143.1232403254877</v>
      </c>
      <c r="AX109" s="385">
        <v>144.91381027174225</v>
      </c>
      <c r="AY109" s="384">
        <v>141.31550813133796</v>
      </c>
      <c r="AZ109" s="383">
        <v>133.70416990015198</v>
      </c>
      <c r="BA109" s="383">
        <v>126.27541562213322</v>
      </c>
      <c r="BB109" s="383">
        <v>126.76511058908007</v>
      </c>
      <c r="BC109" s="383">
        <v>120.34950018438124</v>
      </c>
      <c r="BD109" s="383">
        <v>120.34950018438124</v>
      </c>
      <c r="BE109" s="365">
        <v>121.12292226303224</v>
      </c>
      <c r="BF109" s="365">
        <v>124.6836747701056</v>
      </c>
      <c r="BG109" s="365">
        <v>117.86374604844862</v>
      </c>
      <c r="BH109" s="365">
        <v>123.83379314277947</v>
      </c>
      <c r="BI109" s="365">
        <v>133.18770911854739</v>
      </c>
      <c r="BJ109" s="365">
        <v>132.55143751761096</v>
      </c>
      <c r="BK109" s="365">
        <v>130.19997142717159</v>
      </c>
      <c r="BL109" s="365">
        <v>124.35419916356967</v>
      </c>
      <c r="BM109" s="365">
        <v>126.428814098673</v>
      </c>
      <c r="BN109" s="365">
        <v>125.51581396370715</v>
      </c>
      <c r="BO109" s="365">
        <v>121.82565118506008</v>
      </c>
      <c r="BP109" s="365">
        <v>98.256490487687103</v>
      </c>
      <c r="BQ109" s="365">
        <v>103.84224084195823</v>
      </c>
      <c r="BR109" s="365">
        <v>115.26529999519958</v>
      </c>
      <c r="BS109" s="365">
        <v>120.1351136303081</v>
      </c>
      <c r="BT109" s="365">
        <v>106.85817009968282</v>
      </c>
      <c r="BU109" s="365">
        <v>119.12431808382988</v>
      </c>
      <c r="BV109" s="365">
        <v>125.32044333317984</v>
      </c>
      <c r="BW109" s="365">
        <v>119.25403602089121</v>
      </c>
      <c r="BX109" s="365">
        <v>117.06604990278682</v>
      </c>
      <c r="BY109" s="365">
        <v>131.36401630085163</v>
      </c>
      <c r="BZ109" s="365">
        <v>107.19233768201907</v>
      </c>
      <c r="CA109" s="365">
        <v>119.99686205024851</v>
      </c>
      <c r="CB109" s="365">
        <v>133.29139884481285</v>
      </c>
      <c r="CC109" s="365">
        <v>117.59015762390199</v>
      </c>
      <c r="CD109" s="365">
        <v>111.65110108551431</v>
      </c>
      <c r="CE109" s="365">
        <v>128.68508258484675</v>
      </c>
      <c r="CF109" s="365">
        <v>149.35133280040597</v>
      </c>
      <c r="CG109" s="365">
        <v>146.94279763801785</v>
      </c>
      <c r="CH109" s="365">
        <v>114.87963719607241</v>
      </c>
      <c r="CI109" s="365">
        <v>146.16878701868191</v>
      </c>
      <c r="CJ109" s="365">
        <v>138.26993686708607</v>
      </c>
      <c r="CK109" s="365">
        <v>131.49154510988643</v>
      </c>
      <c r="CL109" s="365">
        <v>156.56080588320887</v>
      </c>
      <c r="CM109" s="365">
        <v>166.19897773896579</v>
      </c>
      <c r="CN109" s="365">
        <v>198.53684080677013</v>
      </c>
      <c r="CO109" s="365">
        <v>154.83046053662946</v>
      </c>
      <c r="CP109" s="365">
        <v>128.08296406294252</v>
      </c>
      <c r="CQ109" s="365">
        <v>123.98712235522017</v>
      </c>
      <c r="CR109" s="365">
        <v>104.96260174277985</v>
      </c>
      <c r="CS109" s="365">
        <v>122.96786044100614</v>
      </c>
      <c r="CT109" s="365">
        <v>117.71275568196143</v>
      </c>
      <c r="CU109" s="365">
        <v>193.43705973199246</v>
      </c>
      <c r="CV109" s="365">
        <v>161.54994510202388</v>
      </c>
      <c r="CW109" s="365">
        <v>150.4290069021921</v>
      </c>
      <c r="CX109" s="365">
        <v>156.20054568090501</v>
      </c>
      <c r="CY109" s="365">
        <v>173.73234674660245</v>
      </c>
      <c r="CZ109" s="365">
        <v>158.02818043337103</v>
      </c>
      <c r="DA109" s="365">
        <v>182.05258426363955</v>
      </c>
      <c r="DB109" s="365">
        <v>201.4776268386201</v>
      </c>
      <c r="DC109" s="365">
        <v>197.6415448778435</v>
      </c>
      <c r="DD109" s="365">
        <v>235.51913045441759</v>
      </c>
      <c r="DE109" s="365">
        <v>233.61341039007459</v>
      </c>
      <c r="DF109" s="365">
        <v>244.04339593435526</v>
      </c>
      <c r="DG109" s="365">
        <v>184.28456778386635</v>
      </c>
      <c r="DH109" s="365">
        <v>166.22524194866213</v>
      </c>
      <c r="DI109" s="365">
        <v>190.81750131900563</v>
      </c>
      <c r="DJ109" s="365">
        <v>183.19219707045602</v>
      </c>
      <c r="DK109" s="365">
        <f t="shared" si="11"/>
        <v>165.40413935427836</v>
      </c>
      <c r="DL109" s="365">
        <f t="shared" si="12"/>
        <v>181.12987703049754</v>
      </c>
      <c r="DM109" s="382">
        <f t="shared" si="13"/>
        <v>9.5074631974815915</v>
      </c>
      <c r="DN109" s="346"/>
    </row>
    <row r="110" spans="1:119" ht="87">
      <c r="A110" s="327">
        <v>128.5641739254136</v>
      </c>
      <c r="B110" s="381" t="s">
        <v>73</v>
      </c>
      <c r="C110" s="327"/>
      <c r="AA110" s="380">
        <v>125.76819628886265</v>
      </c>
      <c r="AB110" s="379">
        <v>123.00337039559538</v>
      </c>
      <c r="AC110" s="379">
        <v>119.08010034248291</v>
      </c>
      <c r="AD110" s="379">
        <v>130.78300408964998</v>
      </c>
      <c r="AE110" s="379">
        <v>121.37925328114608</v>
      </c>
      <c r="AF110" s="377">
        <v>138.01260655104565</v>
      </c>
      <c r="AG110" s="373">
        <v>124.4054773721756</v>
      </c>
      <c r="AH110" s="378">
        <v>112.14473457513668</v>
      </c>
      <c r="AI110" s="377">
        <v>119.33376719412946</v>
      </c>
      <c r="AJ110" s="375">
        <v>127.59485502006066</v>
      </c>
      <c r="AK110" s="376">
        <v>107.88739762004903</v>
      </c>
      <c r="AL110" s="375">
        <v>133.68832816985838</v>
      </c>
      <c r="AM110" s="374">
        <v>125.00256551175096</v>
      </c>
      <c r="AN110" s="373">
        <v>116.79531209338602</v>
      </c>
      <c r="AO110" s="373">
        <v>117.57751177369873</v>
      </c>
      <c r="AP110" s="373">
        <v>122.77266223715992</v>
      </c>
      <c r="AQ110" s="373">
        <v>126.6181020250754</v>
      </c>
      <c r="AR110" s="373">
        <v>126.76919674344569</v>
      </c>
      <c r="AS110" s="371">
        <v>126.33695504183783</v>
      </c>
      <c r="AT110" s="372">
        <v>116.5677145606486</v>
      </c>
      <c r="AU110" s="371">
        <v>114.62481855321695</v>
      </c>
      <c r="AV110" s="370">
        <v>119.64373709708035</v>
      </c>
      <c r="AW110" s="369">
        <v>113.57177456432051</v>
      </c>
      <c r="AX110" s="369">
        <v>144.98494026762702</v>
      </c>
      <c r="AY110" s="368">
        <v>124.75783928155157</v>
      </c>
      <c r="AZ110" s="367">
        <v>128.10699513642595</v>
      </c>
      <c r="BA110" s="367">
        <v>135.11427933069285</v>
      </c>
      <c r="BB110" s="367">
        <v>135.1628302063834</v>
      </c>
      <c r="BC110" s="367">
        <v>134.17149292013119</v>
      </c>
      <c r="BD110" s="367">
        <v>133.88446825004337</v>
      </c>
      <c r="BE110" s="366">
        <v>140.25149801537239</v>
      </c>
      <c r="BF110" s="366">
        <v>144.63734432480533</v>
      </c>
      <c r="BG110" s="366">
        <v>119.41392328268083</v>
      </c>
      <c r="BH110" s="366">
        <v>117.86273701383467</v>
      </c>
      <c r="BI110" s="366">
        <v>139.13438019797002</v>
      </c>
      <c r="BJ110" s="366">
        <v>146.70307587792752</v>
      </c>
      <c r="BK110" s="366">
        <v>145.78953738586833</v>
      </c>
      <c r="BL110" s="366">
        <v>128.7144252947574</v>
      </c>
      <c r="BM110" s="366">
        <v>153.16193588068987</v>
      </c>
      <c r="BN110" s="366">
        <v>160.26214521871151</v>
      </c>
      <c r="BO110" s="366">
        <v>162.89268695591744</v>
      </c>
      <c r="BP110" s="366">
        <v>140.54599776898033</v>
      </c>
      <c r="BQ110" s="366">
        <v>147.7872952680296</v>
      </c>
      <c r="BR110" s="366">
        <v>152.72309517860634</v>
      </c>
      <c r="BS110" s="366">
        <v>139.4781939636421</v>
      </c>
      <c r="BT110" s="366">
        <v>148.33306580318865</v>
      </c>
      <c r="BU110" s="366">
        <v>145.66193566634317</v>
      </c>
      <c r="BV110" s="366">
        <v>170.47215468979712</v>
      </c>
      <c r="BW110" s="366">
        <v>144.7856306626461</v>
      </c>
      <c r="BX110" s="366">
        <v>144.95253075133778</v>
      </c>
      <c r="BY110" s="366">
        <v>155.88676569582981</v>
      </c>
      <c r="BZ110" s="366">
        <v>134.71442202471368</v>
      </c>
      <c r="CA110" s="366">
        <v>154.61020412217636</v>
      </c>
      <c r="CB110" s="366">
        <v>147.81989677276229</v>
      </c>
      <c r="CC110" s="366">
        <v>167.92411857905012</v>
      </c>
      <c r="CD110" s="366">
        <v>152.32635673884133</v>
      </c>
      <c r="CE110" s="366">
        <v>146.06583322764334</v>
      </c>
      <c r="CF110" s="366">
        <v>148.03391978047051</v>
      </c>
      <c r="CG110" s="366">
        <v>152.54642020096804</v>
      </c>
      <c r="CH110" s="366">
        <v>154.5145399206732</v>
      </c>
      <c r="CI110" s="366">
        <v>159.15632380205975</v>
      </c>
      <c r="CJ110" s="366">
        <v>144.44926323267768</v>
      </c>
      <c r="CK110" s="366">
        <v>155.63742909183063</v>
      </c>
      <c r="CL110" s="366">
        <v>139.15913789600688</v>
      </c>
      <c r="CM110" s="366">
        <v>157.92719355418771</v>
      </c>
      <c r="CN110" s="366">
        <v>151.01355890316978</v>
      </c>
      <c r="CO110" s="366">
        <v>150.76618018771129</v>
      </c>
      <c r="CP110" s="366">
        <v>124.53401725686412</v>
      </c>
      <c r="CQ110" s="366">
        <v>122.60050031483597</v>
      </c>
      <c r="CR110" s="366">
        <v>129.84655584829548</v>
      </c>
      <c r="CS110" s="366">
        <v>126.70696201679985</v>
      </c>
      <c r="CT110" s="366">
        <v>144.71286004161524</v>
      </c>
      <c r="CU110" s="366">
        <v>143.87867246923901</v>
      </c>
      <c r="CV110" s="366">
        <v>141.80346039566237</v>
      </c>
      <c r="CW110" s="366">
        <v>155.2435575863104</v>
      </c>
      <c r="CX110" s="366">
        <v>147.22745336396787</v>
      </c>
      <c r="CY110" s="366">
        <v>150.75219999623107</v>
      </c>
      <c r="CZ110" s="366">
        <v>152.23596908363606</v>
      </c>
      <c r="DA110" s="366">
        <v>136.51776699320214</v>
      </c>
      <c r="DB110" s="366">
        <v>144.50380429362994</v>
      </c>
      <c r="DC110" s="366">
        <v>136.29315767674581</v>
      </c>
      <c r="DD110" s="366">
        <v>142.77456975282692</v>
      </c>
      <c r="DE110" s="366">
        <v>142.1330881517851</v>
      </c>
      <c r="DF110" s="366">
        <v>150.24462794169989</v>
      </c>
      <c r="DG110" s="366">
        <v>144.85170668097692</v>
      </c>
      <c r="DH110" s="366">
        <v>141.38191411573254</v>
      </c>
      <c r="DI110" s="366">
        <v>158.70324414273406</v>
      </c>
      <c r="DJ110" s="366">
        <v>165.83805362219601</v>
      </c>
      <c r="DK110" s="365">
        <f t="shared" si="11"/>
        <v>147.03828595379491</v>
      </c>
      <c r="DL110" s="365">
        <f t="shared" si="12"/>
        <v>152.69372964040991</v>
      </c>
      <c r="DM110" s="364">
        <f t="shared" si="13"/>
        <v>3.8462388553632598</v>
      </c>
      <c r="DN110" s="346"/>
      <c r="DO110" s="398"/>
    </row>
    <row r="111" spans="1:119" ht="88.5">
      <c r="A111" s="327">
        <v>151.77559279301349</v>
      </c>
      <c r="B111" s="397" t="s">
        <v>72</v>
      </c>
      <c r="C111" s="327"/>
      <c r="AA111" s="396">
        <v>117.74938392216966</v>
      </c>
      <c r="AB111" s="395">
        <v>110.21232580941003</v>
      </c>
      <c r="AC111" s="395">
        <v>106.56939693553669</v>
      </c>
      <c r="AD111" s="395">
        <v>112.47279822928301</v>
      </c>
      <c r="AE111" s="395">
        <v>107.53988712622508</v>
      </c>
      <c r="AF111" s="393">
        <v>111.00923122233209</v>
      </c>
      <c r="AG111" s="389">
        <v>123.80884178832311</v>
      </c>
      <c r="AH111" s="394">
        <v>105.29066649018877</v>
      </c>
      <c r="AI111" s="393">
        <v>134.16812858051895</v>
      </c>
      <c r="AJ111" s="391">
        <v>102.33127513187102</v>
      </c>
      <c r="AK111" s="392">
        <v>107.88414118122606</v>
      </c>
      <c r="AL111" s="391">
        <v>109.06206361118478</v>
      </c>
      <c r="AM111" s="390">
        <v>154.05065233401493</v>
      </c>
      <c r="AN111" s="389">
        <v>100.52814934830937</v>
      </c>
      <c r="AO111" s="389">
        <v>114.7642079515967</v>
      </c>
      <c r="AP111" s="389">
        <v>113.573801410203</v>
      </c>
      <c r="AQ111" s="389">
        <v>117.09525456562214</v>
      </c>
      <c r="AR111" s="389">
        <v>116.27506539852507</v>
      </c>
      <c r="AS111" s="387">
        <v>114.76403090899788</v>
      </c>
      <c r="AT111" s="388">
        <v>114.1545510750838</v>
      </c>
      <c r="AU111" s="387">
        <v>111.73754064595119</v>
      </c>
      <c r="AV111" s="386">
        <v>172.40588676622028</v>
      </c>
      <c r="AW111" s="385">
        <v>104.04597364602569</v>
      </c>
      <c r="AX111" s="385">
        <v>123.91918098030669</v>
      </c>
      <c r="AY111" s="384">
        <v>122.91274327884162</v>
      </c>
      <c r="AZ111" s="383">
        <v>97.625128489921892</v>
      </c>
      <c r="BA111" s="383">
        <v>121.03454635623659</v>
      </c>
      <c r="BB111" s="383">
        <v>134.33928990503432</v>
      </c>
      <c r="BC111" s="383">
        <v>134.61438555388693</v>
      </c>
      <c r="BD111" s="383">
        <v>134.61438555388693</v>
      </c>
      <c r="BE111" s="365">
        <v>105.9926887567168</v>
      </c>
      <c r="BF111" s="365">
        <v>126.20604735712078</v>
      </c>
      <c r="BG111" s="365">
        <v>141.13552339086891</v>
      </c>
      <c r="BH111" s="365">
        <v>144.91908966977479</v>
      </c>
      <c r="BI111" s="365">
        <v>164.55897707474782</v>
      </c>
      <c r="BJ111" s="365">
        <v>136.9614743327088</v>
      </c>
      <c r="BK111" s="365">
        <v>170.98365907840375</v>
      </c>
      <c r="BL111" s="365">
        <v>168.26164285007491</v>
      </c>
      <c r="BM111" s="365">
        <v>166.82265460547947</v>
      </c>
      <c r="BN111" s="365">
        <v>138.28780460647175</v>
      </c>
      <c r="BO111" s="365">
        <v>103.26392416784373</v>
      </c>
      <c r="BP111" s="365">
        <v>124.29319588909694</v>
      </c>
      <c r="BQ111" s="365">
        <v>117.72682562136673</v>
      </c>
      <c r="BR111" s="365">
        <v>105.46271122654073</v>
      </c>
      <c r="BS111" s="365">
        <v>111.02791351273598</v>
      </c>
      <c r="BT111" s="365">
        <v>155.98963285993781</v>
      </c>
      <c r="BU111" s="365">
        <v>115.10688675568049</v>
      </c>
      <c r="BV111" s="365">
        <v>167.46616510487368</v>
      </c>
      <c r="BW111" s="365">
        <v>100.00000591714345</v>
      </c>
      <c r="BX111" s="365">
        <v>97.92720124222835</v>
      </c>
      <c r="BY111" s="365">
        <v>112.85031020089524</v>
      </c>
      <c r="BZ111" s="365">
        <v>107.58263382078198</v>
      </c>
      <c r="CA111" s="365">
        <v>172.00012721183629</v>
      </c>
      <c r="CB111" s="365">
        <v>123.12797226629573</v>
      </c>
      <c r="CC111" s="365">
        <v>137.42575331497162</v>
      </c>
      <c r="CD111" s="365">
        <v>104.80519836821151</v>
      </c>
      <c r="CE111" s="365">
        <v>106.17332906911741</v>
      </c>
      <c r="CF111" s="365">
        <v>101.83028404898404</v>
      </c>
      <c r="CG111" s="365">
        <v>103.22599089517469</v>
      </c>
      <c r="CH111" s="365">
        <v>228.59599495208161</v>
      </c>
      <c r="CI111" s="365">
        <v>101.40423044774394</v>
      </c>
      <c r="CJ111" s="365">
        <v>125.18662440149042</v>
      </c>
      <c r="CK111" s="365">
        <v>100.49931138816245</v>
      </c>
      <c r="CL111" s="365">
        <v>195.70234648284045</v>
      </c>
      <c r="CM111" s="365">
        <v>140.05641184197782</v>
      </c>
      <c r="CN111" s="365">
        <v>165.46085984175048</v>
      </c>
      <c r="CO111" s="365">
        <v>102.21456758098128</v>
      </c>
      <c r="CP111" s="365">
        <v>168.91171426315671</v>
      </c>
      <c r="CQ111" s="365">
        <v>103.75872615403854</v>
      </c>
      <c r="CR111" s="365">
        <v>101.12713967901672</v>
      </c>
      <c r="CS111" s="365">
        <v>102.99618989877105</v>
      </c>
      <c r="CT111" s="365">
        <v>146.07090916474786</v>
      </c>
      <c r="CU111" s="365">
        <v>159.42498725826786</v>
      </c>
      <c r="CV111" s="365">
        <v>105.29479869781836</v>
      </c>
      <c r="CW111" s="365">
        <v>178.87917785276517</v>
      </c>
      <c r="CX111" s="365">
        <v>186.07695178417157</v>
      </c>
      <c r="CY111" s="365">
        <v>176.03582721080986</v>
      </c>
      <c r="CZ111" s="365">
        <v>172.56207692996941</v>
      </c>
      <c r="DA111" s="365">
        <v>125.90336720363614</v>
      </c>
      <c r="DB111" s="365">
        <v>118.45715493235879</v>
      </c>
      <c r="DC111" s="365">
        <v>119.625335788168</v>
      </c>
      <c r="DD111" s="365">
        <v>192.33661463731613</v>
      </c>
      <c r="DE111" s="365">
        <v>129.46767595623231</v>
      </c>
      <c r="DF111" s="365">
        <v>360.65595312554359</v>
      </c>
      <c r="DG111" s="365">
        <v>178.21395831878488</v>
      </c>
      <c r="DH111" s="365">
        <v>90.74082780026184</v>
      </c>
      <c r="DI111" s="365">
        <v>88.051985391033057</v>
      </c>
      <c r="DJ111" s="365">
        <v>105.94264131170409</v>
      </c>
      <c r="DK111" s="365">
        <f t="shared" si="11"/>
        <v>157.41897889825574</v>
      </c>
      <c r="DL111" s="365">
        <f t="shared" si="12"/>
        <v>115.73735320544597</v>
      </c>
      <c r="DM111" s="382">
        <f t="shared" si="13"/>
        <v>-26.47814512870762</v>
      </c>
      <c r="DN111" s="346"/>
    </row>
    <row r="112" spans="1:119" ht="88.5">
      <c r="B112" s="397" t="s">
        <v>71</v>
      </c>
      <c r="C112" s="327"/>
      <c r="AA112" s="396">
        <v>147.03367010063965</v>
      </c>
      <c r="AB112" s="395">
        <v>158.04870777514665</v>
      </c>
      <c r="AC112" s="395">
        <v>134.50731155362806</v>
      </c>
      <c r="AD112" s="395">
        <v>160.86018370701265</v>
      </c>
      <c r="AE112" s="395">
        <v>119.33050528307351</v>
      </c>
      <c r="AF112" s="393">
        <v>121.05390907185014</v>
      </c>
      <c r="AG112" s="389">
        <v>93.195320488584031</v>
      </c>
      <c r="AH112" s="394">
        <v>100.55257243460278</v>
      </c>
      <c r="AI112" s="393">
        <v>92.542247761464125</v>
      </c>
      <c r="AJ112" s="391">
        <v>80.217027039996651</v>
      </c>
      <c r="AK112" s="392">
        <v>73.089164806427831</v>
      </c>
      <c r="AL112" s="391">
        <v>150.89182776919108</v>
      </c>
      <c r="AM112" s="390">
        <v>128.80705461163606</v>
      </c>
      <c r="AN112" s="389">
        <v>198.8734091698698</v>
      </c>
      <c r="AO112" s="389">
        <v>179.93322311852322</v>
      </c>
      <c r="AP112" s="389">
        <v>161.86678907891542</v>
      </c>
      <c r="AQ112" s="389">
        <v>139.9999433819988</v>
      </c>
      <c r="AR112" s="389">
        <v>76.181890603700268</v>
      </c>
      <c r="AS112" s="387">
        <v>91.352211356920591</v>
      </c>
      <c r="AT112" s="388">
        <v>123.16874365854549</v>
      </c>
      <c r="AU112" s="387">
        <v>126.5202181936629</v>
      </c>
      <c r="AV112" s="386">
        <v>127.01567332953719</v>
      </c>
      <c r="AW112" s="385">
        <v>135.33161897570523</v>
      </c>
      <c r="AX112" s="385">
        <v>179.88055533658684</v>
      </c>
      <c r="AY112" s="384">
        <v>133.70775214683798</v>
      </c>
      <c r="AZ112" s="383">
        <v>135.64184008551709</v>
      </c>
      <c r="BA112" s="383">
        <v>288.38937425579422</v>
      </c>
      <c r="BB112" s="383">
        <v>98.503640657082428</v>
      </c>
      <c r="BC112" s="383">
        <v>101.813174587605</v>
      </c>
      <c r="BD112" s="383">
        <v>101.813174587605</v>
      </c>
      <c r="BE112" s="365">
        <v>122.66992985623173</v>
      </c>
      <c r="BF112" s="365">
        <v>97.961783923834318</v>
      </c>
      <c r="BG112" s="365">
        <v>162.48157087533795</v>
      </c>
      <c r="BH112" s="365">
        <v>142.76970855200003</v>
      </c>
      <c r="BI112" s="365">
        <v>198.1065091230455</v>
      </c>
      <c r="BJ112" s="365">
        <v>239.32622254173813</v>
      </c>
      <c r="BK112" s="365">
        <v>149.55281059988954</v>
      </c>
      <c r="BL112" s="365">
        <v>142.34117068345543</v>
      </c>
      <c r="BM112" s="365">
        <v>73.512954410726721</v>
      </c>
      <c r="BN112" s="365">
        <v>77.836023956686418</v>
      </c>
      <c r="BO112" s="365">
        <v>78.833649121931387</v>
      </c>
      <c r="BP112" s="365">
        <v>85.745602605137407</v>
      </c>
      <c r="BQ112" s="365">
        <v>70.331075514505045</v>
      </c>
      <c r="BR112" s="365">
        <v>116.00367862967117</v>
      </c>
      <c r="BS112" s="365">
        <v>167.44939432358831</v>
      </c>
      <c r="BT112" s="365">
        <v>96.911672884844251</v>
      </c>
      <c r="BU112" s="365">
        <v>176.26369246713355</v>
      </c>
      <c r="BV112" s="365">
        <v>199.18644579031422</v>
      </c>
      <c r="BW112" s="365">
        <v>156.24846163831697</v>
      </c>
      <c r="BX112" s="365">
        <v>124.62461177730215</v>
      </c>
      <c r="BY112" s="365">
        <v>134.76922442945187</v>
      </c>
      <c r="BZ112" s="365">
        <v>123.97771578729822</v>
      </c>
      <c r="CA112" s="365">
        <v>145.26707317958758</v>
      </c>
      <c r="CB112" s="365">
        <v>145.7883014527643</v>
      </c>
      <c r="CC112" s="365">
        <v>201.37961399710852</v>
      </c>
      <c r="CD112" s="365">
        <v>211.55382483243116</v>
      </c>
      <c r="CE112" s="365">
        <v>169.92795932286464</v>
      </c>
      <c r="CF112" s="365">
        <v>138.75624594583232</v>
      </c>
      <c r="CG112" s="365">
        <v>206.52861242872893</v>
      </c>
      <c r="CH112" s="365">
        <v>303.27607859986972</v>
      </c>
      <c r="CI112" s="365">
        <v>136.69415087331436</v>
      </c>
      <c r="CJ112" s="365">
        <v>132.34095474428022</v>
      </c>
      <c r="CK112" s="365">
        <v>115.49090338889937</v>
      </c>
      <c r="CL112" s="365">
        <v>101.39673450451153</v>
      </c>
      <c r="CM112" s="365">
        <v>200.51810230675716</v>
      </c>
      <c r="CN112" s="365">
        <v>379.88424927604933</v>
      </c>
      <c r="CO112" s="365">
        <v>186.45100005858367</v>
      </c>
      <c r="CP112" s="365">
        <v>153.54099926531265</v>
      </c>
      <c r="CQ112" s="365">
        <v>143.13861308341757</v>
      </c>
      <c r="CR112" s="365">
        <v>98.661088531925742</v>
      </c>
      <c r="CS112" s="365">
        <v>202.00890580379101</v>
      </c>
      <c r="CT112" s="365">
        <v>102.86318908853096</v>
      </c>
      <c r="CU112" s="365">
        <v>111.45628747818107</v>
      </c>
      <c r="CV112" s="365">
        <v>110.99845881303953</v>
      </c>
      <c r="CW112" s="365">
        <v>239.28310503530466</v>
      </c>
      <c r="CX112" s="365">
        <v>51.861490657952075</v>
      </c>
      <c r="CY112" s="365">
        <v>263.74232608200202</v>
      </c>
      <c r="CZ112" s="365">
        <v>208.25838899396265</v>
      </c>
      <c r="DA112" s="365">
        <v>188.2006148673818</v>
      </c>
      <c r="DB112" s="365">
        <v>237.85462930870185</v>
      </c>
      <c r="DC112" s="365">
        <v>82.466667458020339</v>
      </c>
      <c r="DD112" s="365">
        <v>103.20821881406985</v>
      </c>
      <c r="DE112" s="365">
        <v>168.33231298606501</v>
      </c>
      <c r="DF112" s="365">
        <v>191.88463845210259</v>
      </c>
      <c r="DG112" s="365">
        <v>93.509382139483748</v>
      </c>
      <c r="DH112" s="365">
        <v>324.3065829236416</v>
      </c>
      <c r="DI112" s="365">
        <v>82.003824127195955</v>
      </c>
      <c r="DJ112" s="365">
        <v>96.462114710922194</v>
      </c>
      <c r="DK112" s="365">
        <f t="shared" si="11"/>
        <v>128.39983549611935</v>
      </c>
      <c r="DL112" s="365">
        <f t="shared" si="12"/>
        <v>149.07047597531087</v>
      </c>
      <c r="DM112" s="382">
        <f t="shared" si="13"/>
        <v>16.098650282006211</v>
      </c>
      <c r="DN112" s="346"/>
    </row>
    <row r="113" spans="2:118" ht="88.5">
      <c r="B113" s="397" t="s">
        <v>70</v>
      </c>
      <c r="C113" s="327"/>
      <c r="AA113" s="396">
        <v>85.190154649204928</v>
      </c>
      <c r="AB113" s="395">
        <v>95.116485967157246</v>
      </c>
      <c r="AC113" s="395">
        <v>86.698003099997408</v>
      </c>
      <c r="AD113" s="395">
        <v>130.43707022004025</v>
      </c>
      <c r="AE113" s="395">
        <v>55.315964416305903</v>
      </c>
      <c r="AF113" s="393">
        <v>204.45607453280016</v>
      </c>
      <c r="AG113" s="389">
        <v>98.022072218052145</v>
      </c>
      <c r="AH113" s="394">
        <v>59.336561012554952</v>
      </c>
      <c r="AI113" s="393">
        <v>113.91873208261072</v>
      </c>
      <c r="AJ113" s="391">
        <v>96.205089828727822</v>
      </c>
      <c r="AK113" s="392">
        <v>39.195312058937375</v>
      </c>
      <c r="AL113" s="391">
        <v>89.673476419966576</v>
      </c>
      <c r="AM113" s="390">
        <v>74.081400760664195</v>
      </c>
      <c r="AN113" s="389">
        <v>61.078759869463866</v>
      </c>
      <c r="AO113" s="389">
        <v>224.30254382864663</v>
      </c>
      <c r="AP113" s="389">
        <v>176.62336995540178</v>
      </c>
      <c r="AQ113" s="389">
        <v>144.2851573854266</v>
      </c>
      <c r="AR113" s="389">
        <v>133.57714801212666</v>
      </c>
      <c r="AS113" s="387">
        <v>94.079579659968175</v>
      </c>
      <c r="AT113" s="388">
        <v>85.624026376596177</v>
      </c>
      <c r="AU113" s="387">
        <v>155.11729581652293</v>
      </c>
      <c r="AV113" s="386">
        <v>88.191104407415068</v>
      </c>
      <c r="AW113" s="385">
        <v>98.208450937389799</v>
      </c>
      <c r="AX113" s="385">
        <v>191.72742728197892</v>
      </c>
      <c r="AY113" s="384">
        <v>85.779537049020121</v>
      </c>
      <c r="AZ113" s="383">
        <v>97.675478221354197</v>
      </c>
      <c r="BA113" s="383">
        <v>112.65694421900561</v>
      </c>
      <c r="BB113" s="383">
        <v>103.05100562886685</v>
      </c>
      <c r="BC113" s="383">
        <v>98.682886694726378</v>
      </c>
      <c r="BD113" s="383">
        <v>98.682886694726378</v>
      </c>
      <c r="BE113" s="365">
        <v>37.469695906947862</v>
      </c>
      <c r="BF113" s="365">
        <v>240.4478836221972</v>
      </c>
      <c r="BG113" s="365">
        <v>226.34860785820055</v>
      </c>
      <c r="BH113" s="365">
        <v>227.53753025398066</v>
      </c>
      <c r="BI113" s="365">
        <v>148.57812338971468</v>
      </c>
      <c r="BJ113" s="365">
        <v>127.15958800111272</v>
      </c>
      <c r="BK113" s="365">
        <v>73.140335483450571</v>
      </c>
      <c r="BL113" s="365">
        <v>144.91006689948784</v>
      </c>
      <c r="BM113" s="365">
        <v>80.668751919501261</v>
      </c>
      <c r="BN113" s="365">
        <v>91.061162716349301</v>
      </c>
      <c r="BO113" s="365">
        <v>144.92133612401383</v>
      </c>
      <c r="BP113" s="365">
        <v>73.515736414509888</v>
      </c>
      <c r="BQ113" s="365">
        <v>113.39702695657554</v>
      </c>
      <c r="BR113" s="365">
        <v>86.330345014854558</v>
      </c>
      <c r="BS113" s="365">
        <v>149.25401943449023</v>
      </c>
      <c r="BT113" s="365">
        <v>130.20673750427304</v>
      </c>
      <c r="BU113" s="365">
        <v>141.15340202107251</v>
      </c>
      <c r="BV113" s="365">
        <v>152.33783256383117</v>
      </c>
      <c r="BW113" s="365">
        <v>149.1249819736727</v>
      </c>
      <c r="BX113" s="365">
        <v>71.946742009483629</v>
      </c>
      <c r="BY113" s="365">
        <v>176.93224394883336</v>
      </c>
      <c r="BZ113" s="365">
        <v>105.74410669637093</v>
      </c>
      <c r="CA113" s="365">
        <v>117.18936919886946</v>
      </c>
      <c r="CB113" s="365">
        <v>152.08113004729432</v>
      </c>
      <c r="CC113" s="365">
        <v>140.65088088191041</v>
      </c>
      <c r="CD113" s="365">
        <v>107.78039265872873</v>
      </c>
      <c r="CE113" s="365">
        <v>98.975246141385455</v>
      </c>
      <c r="CF113" s="365">
        <v>89.854537046957745</v>
      </c>
      <c r="CG113" s="365">
        <v>124.24198730278884</v>
      </c>
      <c r="CH113" s="365">
        <v>333.42467365396118</v>
      </c>
      <c r="CI113" s="365">
        <v>57.819591158073891</v>
      </c>
      <c r="CJ113" s="365">
        <v>136.8037688567845</v>
      </c>
      <c r="CK113" s="365">
        <v>144.43598863690409</v>
      </c>
      <c r="CL113" s="365">
        <v>95.239380207532903</v>
      </c>
      <c r="CM113" s="365">
        <v>163.12127757630387</v>
      </c>
      <c r="CN113" s="365">
        <v>109.17268980815331</v>
      </c>
      <c r="CO113" s="365">
        <v>196.93436051720573</v>
      </c>
      <c r="CP113" s="365">
        <v>121.72181816852779</v>
      </c>
      <c r="CQ113" s="365">
        <v>57.670441829666338</v>
      </c>
      <c r="CR113" s="365">
        <v>261.70203335677564</v>
      </c>
      <c r="CS113" s="365">
        <v>116.24410913292201</v>
      </c>
      <c r="CT113" s="365">
        <v>151.12299415811768</v>
      </c>
      <c r="CU113" s="365">
        <v>130.66433686873211</v>
      </c>
      <c r="CV113" s="365">
        <v>145.22985120404792</v>
      </c>
      <c r="CW113" s="365">
        <v>127.0305601566924</v>
      </c>
      <c r="CX113" s="365">
        <v>169.77714891132703</v>
      </c>
      <c r="CY113" s="365">
        <v>129.73922075022466</v>
      </c>
      <c r="CZ113" s="365">
        <v>180.2919805730335</v>
      </c>
      <c r="DA113" s="365">
        <v>128.10443857827144</v>
      </c>
      <c r="DB113" s="365">
        <v>173.62455806669934</v>
      </c>
      <c r="DC113" s="365">
        <v>166.23888884090431</v>
      </c>
      <c r="DD113" s="365">
        <v>220.55301311981566</v>
      </c>
      <c r="DE113" s="365">
        <v>225.78032940077969</v>
      </c>
      <c r="DF113" s="365">
        <v>173.92404564332395</v>
      </c>
      <c r="DG113" s="365">
        <v>115.32518877244826</v>
      </c>
      <c r="DH113" s="365">
        <v>164.56698755843797</v>
      </c>
      <c r="DI113" s="365">
        <v>158.34470619660902</v>
      </c>
      <c r="DJ113" s="365">
        <v>192.68103351753325</v>
      </c>
      <c r="DK113" s="365">
        <f t="shared" si="11"/>
        <v>143.17547428519987</v>
      </c>
      <c r="DL113" s="365">
        <f t="shared" si="12"/>
        <v>157.72947901125713</v>
      </c>
      <c r="DM113" s="382">
        <f t="shared" si="13"/>
        <v>10.165152096556884</v>
      </c>
      <c r="DN113" s="346"/>
    </row>
    <row r="114" spans="2:118" ht="87">
      <c r="B114" s="381" t="s">
        <v>69</v>
      </c>
      <c r="C114" s="327"/>
      <c r="AA114" s="380">
        <v>133.50707528217328</v>
      </c>
      <c r="AB114" s="379">
        <v>137.64061334025851</v>
      </c>
      <c r="AC114" s="379">
        <v>122.09849797946319</v>
      </c>
      <c r="AD114" s="379">
        <v>141.68966204691372</v>
      </c>
      <c r="AE114" s="379">
        <v>112.15111827831764</v>
      </c>
      <c r="AF114" s="377">
        <v>121.04983576558749</v>
      </c>
      <c r="AG114" s="373">
        <v>104.68501951138107</v>
      </c>
      <c r="AH114" s="378">
        <v>100.47140789471297</v>
      </c>
      <c r="AI114" s="377">
        <v>108.82144903914482</v>
      </c>
      <c r="AJ114" s="375">
        <v>89.070778085119812</v>
      </c>
      <c r="AK114" s="376">
        <v>84.403248408170455</v>
      </c>
      <c r="AL114" s="375">
        <v>132.77208318535264</v>
      </c>
      <c r="AM114" s="374">
        <v>135.68001193184708</v>
      </c>
      <c r="AN114" s="373">
        <v>156.5442214081551</v>
      </c>
      <c r="AO114" s="373">
        <v>157.89571080269874</v>
      </c>
      <c r="AP114" s="373">
        <v>144.7330105251892</v>
      </c>
      <c r="AQ114" s="373">
        <v>131.75338731908178</v>
      </c>
      <c r="AR114" s="373">
        <v>93.492594090966335</v>
      </c>
      <c r="AS114" s="371">
        <v>100.09629496846181</v>
      </c>
      <c r="AT114" s="372">
        <v>118.18490602161995</v>
      </c>
      <c r="AU114" s="371">
        <v>122.34251859486531</v>
      </c>
      <c r="AV114" s="370">
        <v>142.01379335987923</v>
      </c>
      <c r="AW114" s="369">
        <v>122.16325964900753</v>
      </c>
      <c r="AX114" s="369">
        <v>159.79336158448132</v>
      </c>
      <c r="AY114" s="368">
        <v>127.6078829729441</v>
      </c>
      <c r="AZ114" s="367">
        <v>119.95687707500392</v>
      </c>
      <c r="BA114" s="367">
        <v>218.96095107339281</v>
      </c>
      <c r="BB114" s="367">
        <v>111.90441595844908</v>
      </c>
      <c r="BC114" s="367">
        <v>113.75607385894583</v>
      </c>
      <c r="BD114" s="367">
        <v>113.75607385894583</v>
      </c>
      <c r="BE114" s="366">
        <v>112.75189558228908</v>
      </c>
      <c r="BF114" s="366">
        <v>114.67869183375024</v>
      </c>
      <c r="BG114" s="366">
        <v>157.44925782266742</v>
      </c>
      <c r="BH114" s="366">
        <v>147.31756348486812</v>
      </c>
      <c r="BI114" s="366">
        <v>183.55534135764677</v>
      </c>
      <c r="BJ114" s="366">
        <v>196.65215660926637</v>
      </c>
      <c r="BK114" s="366">
        <v>154.06045280141467</v>
      </c>
      <c r="BL114" s="366">
        <v>152.00223934619112</v>
      </c>
      <c r="BM114" s="366">
        <v>108.1986189211986</v>
      </c>
      <c r="BN114" s="366">
        <v>100.68813528888174</v>
      </c>
      <c r="BO114" s="366">
        <v>90.760440426491272</v>
      </c>
      <c r="BP114" s="366">
        <v>99.401841062023436</v>
      </c>
      <c r="BQ114" s="366">
        <v>89.696571392465898</v>
      </c>
      <c r="BR114" s="366">
        <v>110.80627869939893</v>
      </c>
      <c r="BS114" s="366">
        <v>145.86151760820482</v>
      </c>
      <c r="BT114" s="366">
        <v>120.14709323405899</v>
      </c>
      <c r="BU114" s="366">
        <v>152.18213976215961</v>
      </c>
      <c r="BV114" s="366">
        <v>185.42705035173435</v>
      </c>
      <c r="BW114" s="366">
        <v>135.21492566508275</v>
      </c>
      <c r="BX114" s="366">
        <v>112.45697809489683</v>
      </c>
      <c r="BY114" s="366">
        <v>128.5641739254136</v>
      </c>
      <c r="BZ114" s="366">
        <v>117.1309909258773</v>
      </c>
      <c r="CA114" s="366">
        <v>153.86944598630203</v>
      </c>
      <c r="CB114" s="366">
        <v>137.72071003443682</v>
      </c>
      <c r="CC114" s="366">
        <v>175.1326393853509</v>
      </c>
      <c r="CD114" s="366">
        <v>167.63696772143751</v>
      </c>
      <c r="CE114" s="366">
        <v>143.30132839849392</v>
      </c>
      <c r="CF114" s="366">
        <v>122.98847655259874</v>
      </c>
      <c r="CG114" s="366">
        <v>164.83312531073881</v>
      </c>
      <c r="CH114" s="366">
        <v>275.53813717451362</v>
      </c>
      <c r="CI114" s="366">
        <v>120.2008436597699</v>
      </c>
      <c r="CJ114" s="366">
        <v>129.90356745463902</v>
      </c>
      <c r="CK114" s="366">
        <v>111.25167542520785</v>
      </c>
      <c r="CL114" s="366">
        <v>135.85929740096489</v>
      </c>
      <c r="CM114" s="366">
        <v>176.59126061006182</v>
      </c>
      <c r="CN114" s="366">
        <v>288.91049938230884</v>
      </c>
      <c r="CO114" s="366">
        <v>155.88888979131661</v>
      </c>
      <c r="CP114" s="366">
        <v>157.79251377066973</v>
      </c>
      <c r="CQ114" s="366">
        <v>124.84668451796368</v>
      </c>
      <c r="CR114" s="366">
        <v>106.79397053453633</v>
      </c>
      <c r="CS114" s="366">
        <v>161.73938881328806</v>
      </c>
      <c r="CT114" s="366">
        <v>120.91626268893283</v>
      </c>
      <c r="CU114" s="366">
        <v>129.97564069201866</v>
      </c>
      <c r="CV114" s="366">
        <v>110.41448029898025</v>
      </c>
      <c r="CW114" s="366">
        <v>212.06058034292806</v>
      </c>
      <c r="CX114" s="366">
        <v>106.52181513531677</v>
      </c>
      <c r="CY114" s="366">
        <v>225.49970103593978</v>
      </c>
      <c r="CZ114" s="366">
        <v>193.87120580096587</v>
      </c>
      <c r="DA114" s="366">
        <v>162.59184677814434</v>
      </c>
      <c r="DB114" s="366">
        <v>191.03106665174994</v>
      </c>
      <c r="DC114" s="366">
        <v>99.865309026451555</v>
      </c>
      <c r="DD114" s="366">
        <v>141.2364159816361</v>
      </c>
      <c r="DE114" s="366">
        <v>156.56297619500864</v>
      </c>
      <c r="DF114" s="366">
        <v>253.25199202170253</v>
      </c>
      <c r="DG114" s="366">
        <v>125.6751429218351</v>
      </c>
      <c r="DH114" s="366">
        <v>231.19948125788198</v>
      </c>
      <c r="DI114" s="366">
        <v>87.614300046218617</v>
      </c>
      <c r="DJ114" s="366">
        <v>104.21764997587982</v>
      </c>
      <c r="DK114" s="365">
        <f t="shared" si="11"/>
        <v>139.74312911731093</v>
      </c>
      <c r="DL114" s="365">
        <f t="shared" si="12"/>
        <v>137.17664355045389</v>
      </c>
      <c r="DM114" s="364">
        <f t="shared" si="13"/>
        <v>-1.8365737071069477</v>
      </c>
      <c r="DN114" s="346"/>
    </row>
    <row r="115" spans="2:118" ht="87.75" thickBot="1">
      <c r="B115" s="363" t="s">
        <v>68</v>
      </c>
      <c r="C115" s="327"/>
      <c r="AA115" s="362">
        <v>126.93646516009542</v>
      </c>
      <c r="AB115" s="361">
        <v>125.24821041794105</v>
      </c>
      <c r="AC115" s="361">
        <v>119.54301674309627</v>
      </c>
      <c r="AD115" s="361">
        <v>132.45570313448118</v>
      </c>
      <c r="AE115" s="361">
        <v>119.96398082414888</v>
      </c>
      <c r="AF115" s="359">
        <v>135.45188979922187</v>
      </c>
      <c r="AG115" s="355">
        <v>121.42845743619542</v>
      </c>
      <c r="AH115" s="360">
        <v>110.38251756718783</v>
      </c>
      <c r="AI115" s="359">
        <v>117.74681718811703</v>
      </c>
      <c r="AJ115" s="357">
        <v>121.77922204337618</v>
      </c>
      <c r="AK115" s="358">
        <v>104.34220709370295</v>
      </c>
      <c r="AL115" s="357">
        <v>133.55001091554462</v>
      </c>
      <c r="AM115" s="356">
        <v>126.64011154080164</v>
      </c>
      <c r="AN115" s="355">
        <v>122.79584698455554</v>
      </c>
      <c r="AO115" s="355">
        <v>123.66398720644074</v>
      </c>
      <c r="AP115" s="355">
        <v>126.08781826021065</v>
      </c>
      <c r="AQ115" s="355">
        <v>127.39332980148498</v>
      </c>
      <c r="AR115" s="355">
        <v>121.7457277044702</v>
      </c>
      <c r="AS115" s="353">
        <v>122.37563889374651</v>
      </c>
      <c r="AT115" s="354">
        <v>116.81184739232994</v>
      </c>
      <c r="AU115" s="353">
        <v>115.78989022883862</v>
      </c>
      <c r="AV115" s="352">
        <v>123.02074304356741</v>
      </c>
      <c r="AW115" s="351">
        <v>114.8687536992542</v>
      </c>
      <c r="AX115" s="351">
        <v>147.22043428058871</v>
      </c>
      <c r="AY115" s="350">
        <v>125.18808471234139</v>
      </c>
      <c r="AZ115" s="349">
        <v>126.8766452063829</v>
      </c>
      <c r="BA115" s="349">
        <v>147.77185630510226</v>
      </c>
      <c r="BB115" s="349">
        <v>131.65171685474866</v>
      </c>
      <c r="BC115" s="349">
        <v>131.08956095001363</v>
      </c>
      <c r="BD115" s="349">
        <v>130.84586580964574</v>
      </c>
      <c r="BE115" s="348">
        <v>136.10013067630189</v>
      </c>
      <c r="BF115" s="348">
        <v>140.11475634279486</v>
      </c>
      <c r="BG115" s="348">
        <v>125.15577522123685</v>
      </c>
      <c r="BH115" s="348">
        <v>122.3092669186718</v>
      </c>
      <c r="BI115" s="348">
        <v>145.84021268326256</v>
      </c>
      <c r="BJ115" s="348">
        <v>154.24343879296424</v>
      </c>
      <c r="BK115" s="348">
        <v>147.03812300465555</v>
      </c>
      <c r="BL115" s="348">
        <v>132.22997686997442</v>
      </c>
      <c r="BM115" s="348">
        <v>146.37422882433816</v>
      </c>
      <c r="BN115" s="348">
        <v>151.26879341728232</v>
      </c>
      <c r="BO115" s="348">
        <v>152.0035312648595</v>
      </c>
      <c r="BP115" s="348">
        <v>134.33483494353624</v>
      </c>
      <c r="BQ115" s="348">
        <v>139.01786180488048</v>
      </c>
      <c r="BR115" s="348">
        <v>146.39529086532477</v>
      </c>
      <c r="BS115" s="348">
        <v>140.44182685096246</v>
      </c>
      <c r="BT115" s="348">
        <v>144.07808334560039</v>
      </c>
      <c r="BU115" s="348">
        <v>146.6462321627493</v>
      </c>
      <c r="BV115" s="348">
        <v>172.72976061560078</v>
      </c>
      <c r="BW115" s="348">
        <v>143.34082751556625</v>
      </c>
      <c r="BX115" s="348">
        <v>140.04696979672914</v>
      </c>
      <c r="BY115" s="348">
        <v>151.77559279301349</v>
      </c>
      <c r="BZ115" s="348">
        <v>132.0686801390429</v>
      </c>
      <c r="CA115" s="348">
        <v>154.49874380386771</v>
      </c>
      <c r="CB115" s="348">
        <v>146.300293390771</v>
      </c>
      <c r="CC115" s="348">
        <v>169.00876953959113</v>
      </c>
      <c r="CD115" s="348">
        <v>154.63011216314794</v>
      </c>
      <c r="CE115" s="348">
        <v>145.649864001927</v>
      </c>
      <c r="CF115" s="348">
        <v>144.26468740030785</v>
      </c>
      <c r="CG115" s="348">
        <v>154.39551691384716</v>
      </c>
      <c r="CH115" s="348">
        <v>172.72807510879466</v>
      </c>
      <c r="CI115" s="348">
        <v>153.35447829896415</v>
      </c>
      <c r="CJ115" s="348">
        <v>142.28289589922525</v>
      </c>
      <c r="CK115" s="348">
        <v>149.02682425852905</v>
      </c>
      <c r="CL115" s="348">
        <v>138.66767521432095</v>
      </c>
      <c r="CM115" s="348">
        <v>160.70693168402389</v>
      </c>
      <c r="CN115" s="348">
        <v>171.55127891296627</v>
      </c>
      <c r="CO115" s="348">
        <v>151.52913239799804</v>
      </c>
      <c r="CP115" s="348">
        <v>129.4873808846138</v>
      </c>
      <c r="CQ115" s="348">
        <v>122.93503639731884</v>
      </c>
      <c r="CR115" s="348">
        <v>126.41321250484724</v>
      </c>
      <c r="CS115" s="348">
        <v>131.92452645521325</v>
      </c>
      <c r="CT115" s="348">
        <v>141.16870705375987</v>
      </c>
      <c r="CU115" s="348">
        <v>141.80802048134339</v>
      </c>
      <c r="CV115" s="348">
        <v>137.12853372666746</v>
      </c>
      <c r="CW115" s="348">
        <v>163.70561701352571</v>
      </c>
      <c r="CX115" s="348">
        <v>141.16494756902188</v>
      </c>
      <c r="CY115" s="348">
        <v>161.88474030097947</v>
      </c>
      <c r="CZ115" s="348">
        <v>158.43692489361268</v>
      </c>
      <c r="DA115" s="348">
        <v>140.40111747418868</v>
      </c>
      <c r="DB115" s="348">
        <v>151.43335533234907</v>
      </c>
      <c r="DC115" s="348">
        <v>130.86776568806593</v>
      </c>
      <c r="DD115" s="348">
        <v>142.54548438389151</v>
      </c>
      <c r="DE115" s="348">
        <v>144.28220762734929</v>
      </c>
      <c r="DF115" s="348">
        <v>165.58605897759946</v>
      </c>
      <c r="DG115" s="348">
        <v>141.99563970902807</v>
      </c>
      <c r="DH115" s="348">
        <v>154.75891899718323</v>
      </c>
      <c r="DI115" s="348">
        <v>148.11559205579616</v>
      </c>
      <c r="DJ115" s="348">
        <v>156.66060129742789</v>
      </c>
      <c r="DK115" s="348">
        <f t="shared" si="11"/>
        <v>145.95177969763961</v>
      </c>
      <c r="DL115" s="348">
        <f t="shared" si="12"/>
        <v>150.38268801485884</v>
      </c>
      <c r="DM115" s="347">
        <f t="shared" si="13"/>
        <v>3.0358713860142661</v>
      </c>
      <c r="DN115" s="346"/>
    </row>
    <row r="116" spans="2:118" ht="103.5">
      <c r="B116" s="345" t="s">
        <v>67</v>
      </c>
      <c r="C116" s="337"/>
      <c r="D116" s="337"/>
      <c r="E116" s="337"/>
      <c r="F116" s="337"/>
      <c r="G116" s="337"/>
      <c r="H116" s="337"/>
      <c r="I116" s="335"/>
      <c r="J116" s="335"/>
      <c r="K116" s="335"/>
      <c r="L116" s="335"/>
      <c r="M116" s="335"/>
      <c r="N116" s="335"/>
      <c r="O116" s="336"/>
      <c r="P116" s="335"/>
      <c r="Q116" s="335"/>
      <c r="R116" s="335"/>
      <c r="S116" s="335"/>
      <c r="T116" s="335"/>
      <c r="U116" s="335"/>
      <c r="V116" s="344"/>
      <c r="W116" s="344"/>
      <c r="X116" s="344"/>
      <c r="Y116" s="344"/>
      <c r="Z116" s="344"/>
      <c r="AA116" s="344"/>
      <c r="AB116" s="344"/>
      <c r="AC116" s="344"/>
      <c r="AD116" s="344"/>
      <c r="AE116" s="344"/>
      <c r="AF116" s="344"/>
      <c r="AG116" s="344"/>
      <c r="AH116" s="344"/>
      <c r="AI116" s="343"/>
      <c r="AJ116" s="343"/>
      <c r="AK116" s="342"/>
      <c r="BE116" s="341"/>
      <c r="BF116" s="341"/>
      <c r="BG116" s="341"/>
      <c r="BH116" s="341"/>
      <c r="BI116" s="341"/>
      <c r="BJ116" s="341"/>
      <c r="BK116" s="340"/>
      <c r="BL116" s="340"/>
      <c r="BM116" s="340"/>
      <c r="BN116" s="340"/>
      <c r="BO116" s="340"/>
      <c r="BP116" s="340"/>
      <c r="BQ116" s="340"/>
      <c r="BR116" s="340"/>
      <c r="BS116" s="340"/>
      <c r="BT116" s="340"/>
      <c r="BU116" s="341"/>
      <c r="BV116" s="341"/>
      <c r="BW116" s="340"/>
      <c r="BX116" s="340"/>
      <c r="BY116" s="340"/>
      <c r="BZ116" s="340"/>
      <c r="CA116" s="340"/>
      <c r="CB116" s="340"/>
      <c r="CC116" s="340"/>
      <c r="CD116" s="340"/>
      <c r="CE116" s="340"/>
      <c r="CF116" s="340"/>
      <c r="CG116" s="340"/>
      <c r="CH116" s="340"/>
      <c r="CI116" s="340"/>
      <c r="CJ116" s="340"/>
      <c r="CK116" s="340"/>
      <c r="CL116" s="340"/>
      <c r="CM116" s="340"/>
      <c r="CN116" s="340"/>
      <c r="CO116" s="340"/>
      <c r="CP116" s="340"/>
      <c r="CQ116" s="340"/>
      <c r="CR116" s="340"/>
      <c r="CS116" s="340"/>
      <c r="CT116" s="340"/>
      <c r="CU116" s="340"/>
      <c r="CV116" s="340"/>
      <c r="CW116" s="340"/>
      <c r="CX116" s="340"/>
      <c r="CY116" s="340"/>
      <c r="CZ116" s="340"/>
      <c r="DA116" s="340"/>
      <c r="DB116" s="340"/>
      <c r="DC116" s="340"/>
      <c r="DD116" s="340"/>
      <c r="DE116" s="340"/>
      <c r="DF116" s="340"/>
      <c r="DG116" s="340"/>
      <c r="DH116" s="340"/>
      <c r="DI116" s="340"/>
      <c r="DJ116" s="340"/>
      <c r="DK116" s="339"/>
      <c r="DL116" s="339"/>
      <c r="DM116" s="339"/>
      <c r="DN116" s="332"/>
    </row>
    <row r="117" spans="2:118" ht="88.5">
      <c r="B117" s="338"/>
      <c r="C117" s="337"/>
      <c r="D117" s="337"/>
      <c r="E117" s="337"/>
      <c r="F117" s="337"/>
      <c r="G117" s="337"/>
      <c r="H117" s="337"/>
      <c r="I117" s="335"/>
      <c r="J117" s="335"/>
      <c r="K117" s="335"/>
      <c r="L117" s="335"/>
      <c r="M117" s="335"/>
      <c r="N117" s="335"/>
      <c r="O117" s="336"/>
      <c r="P117" s="335"/>
      <c r="Q117" s="335"/>
      <c r="R117" s="335"/>
      <c r="S117" s="335"/>
      <c r="T117" s="335"/>
      <c r="U117" s="335"/>
      <c r="V117" s="335"/>
      <c r="W117" s="335"/>
      <c r="X117" s="335"/>
      <c r="Y117" s="335"/>
      <c r="Z117" s="335"/>
      <c r="AA117" s="335"/>
      <c r="AB117" s="335"/>
      <c r="AC117" s="335"/>
      <c r="AD117" s="335"/>
      <c r="AE117" s="335"/>
      <c r="AF117" s="335"/>
      <c r="AG117" s="335"/>
      <c r="AH117" s="335"/>
      <c r="AI117" s="334"/>
      <c r="AJ117" s="334"/>
      <c r="AK117" s="333"/>
      <c r="CE117" s="330"/>
      <c r="CF117" s="330"/>
      <c r="CG117" s="330"/>
      <c r="CH117" s="330"/>
      <c r="CI117" s="330"/>
      <c r="CJ117" s="330"/>
      <c r="CK117" s="330"/>
      <c r="CL117" s="330"/>
      <c r="CM117" s="330"/>
      <c r="CN117" s="330"/>
      <c r="CO117" s="330"/>
      <c r="CP117" s="330"/>
      <c r="CQ117" s="330"/>
      <c r="CR117" s="330"/>
      <c r="CS117" s="330"/>
      <c r="CT117" s="330"/>
      <c r="CU117" s="330"/>
      <c r="CV117" s="330"/>
      <c r="CW117" s="330"/>
      <c r="CX117" s="330"/>
      <c r="CY117" s="330"/>
      <c r="CZ117" s="330"/>
      <c r="DA117" s="330"/>
      <c r="DB117" s="330"/>
      <c r="DC117" s="330"/>
      <c r="DD117" s="330"/>
      <c r="DE117" s="330"/>
      <c r="DF117" s="330"/>
      <c r="DG117" s="330"/>
      <c r="DH117" s="330"/>
      <c r="DI117" s="330"/>
      <c r="DJ117" s="330"/>
      <c r="DN117" s="332"/>
    </row>
    <row r="118" spans="2:118" ht="61.5">
      <c r="CE118" s="330"/>
      <c r="CF118" s="330"/>
      <c r="CG118" s="330"/>
      <c r="CH118" s="330"/>
      <c r="CI118" s="330"/>
      <c r="CJ118" s="330"/>
      <c r="CK118" s="330"/>
      <c r="CL118" s="330"/>
      <c r="CM118" s="330"/>
      <c r="CN118" s="330"/>
      <c r="CO118" s="330"/>
      <c r="CP118" s="330"/>
      <c r="CQ118" s="330"/>
      <c r="CR118" s="330"/>
      <c r="CS118" s="330"/>
      <c r="CT118" s="330"/>
      <c r="CU118" s="330"/>
      <c r="CV118" s="330"/>
      <c r="CW118" s="330"/>
      <c r="CX118" s="330"/>
      <c r="CY118" s="330"/>
      <c r="CZ118" s="330"/>
      <c r="DA118" s="330"/>
      <c r="DB118" s="330"/>
      <c r="DC118" s="330"/>
      <c r="DD118" s="330"/>
      <c r="DE118" s="330"/>
      <c r="DF118" s="330"/>
      <c r="DG118" s="330"/>
      <c r="DH118" s="330"/>
      <c r="DI118" s="330"/>
      <c r="DJ118" s="330"/>
      <c r="DN118" s="331"/>
    </row>
    <row r="119" spans="2:118" ht="61.5">
      <c r="CE119" s="330"/>
      <c r="CF119" s="330"/>
      <c r="CG119" s="330"/>
      <c r="CH119" s="330"/>
      <c r="CI119" s="330"/>
      <c r="CJ119" s="330"/>
      <c r="CK119" s="330"/>
      <c r="CL119" s="330"/>
      <c r="CM119" s="330"/>
      <c r="CN119" s="330"/>
      <c r="CO119" s="330"/>
      <c r="CP119" s="330"/>
      <c r="CQ119" s="330"/>
      <c r="CR119" s="330"/>
      <c r="CS119" s="330"/>
      <c r="CT119" s="330"/>
      <c r="CU119" s="330"/>
      <c r="CV119" s="330"/>
      <c r="CW119" s="330"/>
      <c r="CX119" s="330"/>
      <c r="CY119" s="330"/>
      <c r="CZ119" s="330"/>
      <c r="DA119" s="330"/>
      <c r="DB119" s="330"/>
      <c r="DC119" s="330"/>
      <c r="DD119" s="330"/>
      <c r="DE119" s="330"/>
      <c r="DF119" s="330"/>
      <c r="DG119" s="330"/>
      <c r="DH119" s="330"/>
      <c r="DI119" s="330"/>
      <c r="DJ119" s="330"/>
      <c r="DN119" s="331"/>
    </row>
    <row r="120" spans="2:118" ht="61.5">
      <c r="CE120" s="330"/>
      <c r="CF120" s="330"/>
      <c r="CG120" s="330"/>
      <c r="CH120" s="330"/>
      <c r="CI120" s="330"/>
      <c r="CJ120" s="330"/>
      <c r="CK120" s="330"/>
      <c r="CL120" s="330"/>
      <c r="CM120" s="330"/>
      <c r="CN120" s="330"/>
      <c r="CO120" s="330"/>
      <c r="CP120" s="330"/>
      <c r="CQ120" s="330"/>
      <c r="CR120" s="330"/>
      <c r="CS120" s="330"/>
      <c r="CT120" s="330"/>
      <c r="CU120" s="330"/>
      <c r="CV120" s="330"/>
      <c r="CW120" s="330"/>
      <c r="CX120" s="330"/>
      <c r="CY120" s="330"/>
      <c r="CZ120" s="330"/>
      <c r="DA120" s="330"/>
      <c r="DB120" s="330"/>
      <c r="DC120" s="330"/>
      <c r="DD120" s="330"/>
      <c r="DE120" s="330"/>
      <c r="DF120" s="330"/>
      <c r="DG120" s="330"/>
      <c r="DH120" s="330"/>
      <c r="DI120" s="330"/>
      <c r="DJ120" s="330"/>
      <c r="DN120" s="331"/>
    </row>
    <row r="121" spans="2:118" ht="61.5">
      <c r="CE121" s="330"/>
      <c r="CF121" s="330"/>
      <c r="CG121" s="330"/>
      <c r="CH121" s="330"/>
      <c r="CI121" s="330"/>
      <c r="CJ121" s="330"/>
      <c r="CK121" s="330"/>
      <c r="CL121" s="330"/>
      <c r="CM121" s="330"/>
      <c r="CN121" s="330"/>
      <c r="CO121" s="330"/>
      <c r="CP121" s="330"/>
      <c r="CQ121" s="330"/>
      <c r="CR121" s="330"/>
      <c r="CS121" s="330"/>
      <c r="CT121" s="330"/>
      <c r="CU121" s="330"/>
      <c r="CV121" s="330"/>
      <c r="CW121" s="330"/>
      <c r="CX121" s="330"/>
      <c r="CY121" s="330"/>
      <c r="CZ121" s="330"/>
      <c r="DA121" s="330"/>
      <c r="DB121" s="330"/>
      <c r="DC121" s="330"/>
      <c r="DD121" s="330"/>
      <c r="DE121" s="330"/>
      <c r="DF121" s="330"/>
      <c r="DG121" s="330"/>
      <c r="DH121" s="330"/>
      <c r="DI121" s="330"/>
      <c r="DJ121" s="330"/>
      <c r="DN121" s="331"/>
    </row>
    <row r="122" spans="2:118" ht="61.5">
      <c r="CE122" s="330"/>
      <c r="CF122" s="330"/>
      <c r="CG122" s="330"/>
      <c r="CH122" s="330"/>
      <c r="CI122" s="330"/>
      <c r="CJ122" s="330"/>
      <c r="CK122" s="330"/>
      <c r="CL122" s="330"/>
      <c r="CM122" s="330"/>
      <c r="CN122" s="330"/>
      <c r="CO122" s="330"/>
      <c r="CP122" s="330"/>
      <c r="CQ122" s="330"/>
      <c r="CR122" s="330"/>
      <c r="CS122" s="330"/>
      <c r="CT122" s="330"/>
      <c r="CU122" s="330"/>
      <c r="CV122" s="330"/>
      <c r="CW122" s="330"/>
      <c r="CX122" s="330"/>
      <c r="CY122" s="330"/>
      <c r="CZ122" s="330"/>
      <c r="DA122" s="330"/>
      <c r="DB122" s="330"/>
      <c r="DC122" s="330"/>
      <c r="DD122" s="330"/>
      <c r="DE122" s="330"/>
      <c r="DF122" s="330"/>
      <c r="DG122" s="330"/>
      <c r="DH122" s="330"/>
      <c r="DI122" s="330"/>
      <c r="DJ122" s="330"/>
      <c r="DN122" s="331"/>
    </row>
    <row r="123" spans="2:118" ht="61.5">
      <c r="CE123" s="330"/>
      <c r="CF123" s="330"/>
      <c r="CG123" s="330"/>
      <c r="CH123" s="330"/>
      <c r="CI123" s="330"/>
      <c r="CJ123" s="330"/>
      <c r="CK123" s="330"/>
      <c r="CL123" s="330"/>
      <c r="CM123" s="330"/>
      <c r="CN123" s="330"/>
      <c r="CO123" s="330"/>
      <c r="CP123" s="330"/>
      <c r="CQ123" s="330"/>
      <c r="CR123" s="330"/>
      <c r="CS123" s="330"/>
      <c r="CT123" s="330"/>
      <c r="CU123" s="330"/>
      <c r="CV123" s="330"/>
      <c r="CW123" s="330"/>
      <c r="CX123" s="330"/>
      <c r="CY123" s="330"/>
      <c r="CZ123" s="330"/>
      <c r="DA123" s="330"/>
      <c r="DB123" s="330"/>
      <c r="DC123" s="330"/>
      <c r="DD123" s="330"/>
      <c r="DE123" s="330"/>
      <c r="DF123" s="330"/>
      <c r="DG123" s="330"/>
      <c r="DH123" s="330"/>
      <c r="DI123" s="330"/>
      <c r="DJ123" s="330"/>
      <c r="DN123" s="331"/>
    </row>
    <row r="124" spans="2:118" ht="61.5">
      <c r="CE124" s="330"/>
      <c r="CF124" s="330"/>
      <c r="CG124" s="330"/>
      <c r="CH124" s="330"/>
      <c r="CI124" s="330"/>
      <c r="CJ124" s="330"/>
      <c r="CK124" s="330"/>
      <c r="CL124" s="330"/>
      <c r="CM124" s="330"/>
      <c r="CN124" s="330"/>
      <c r="CO124" s="330"/>
      <c r="CP124" s="330"/>
      <c r="CQ124" s="330"/>
      <c r="CR124" s="330"/>
      <c r="CS124" s="330"/>
      <c r="CT124" s="330"/>
      <c r="CU124" s="330"/>
      <c r="CV124" s="330"/>
      <c r="CW124" s="330"/>
      <c r="CX124" s="330"/>
      <c r="CY124" s="330"/>
      <c r="CZ124" s="330"/>
      <c r="DA124" s="330"/>
      <c r="DB124" s="330"/>
      <c r="DC124" s="330"/>
      <c r="DD124" s="330"/>
      <c r="DE124" s="330"/>
      <c r="DF124" s="330"/>
      <c r="DG124" s="330"/>
      <c r="DH124" s="330"/>
      <c r="DI124" s="330"/>
      <c r="DJ124" s="330"/>
    </row>
  </sheetData>
  <mergeCells count="106">
    <mergeCell ref="CI13:CT14"/>
    <mergeCell ref="CI37:CT38"/>
    <mergeCell ref="CI54:CT55"/>
    <mergeCell ref="CI70:CT71"/>
    <mergeCell ref="BV70:BV71"/>
    <mergeCell ref="BW13:CH14"/>
    <mergeCell ref="CU13:DF14"/>
    <mergeCell ref="CU37:DF38"/>
    <mergeCell ref="CU54:DF55"/>
    <mergeCell ref="CU70:DF71"/>
    <mergeCell ref="BW37:CH38"/>
    <mergeCell ref="BW54:CH55"/>
    <mergeCell ref="BW70:CH71"/>
    <mergeCell ref="BV37:BV38"/>
    <mergeCell ref="BK54:BV55"/>
    <mergeCell ref="BQ70:BQ71"/>
    <mergeCell ref="BR70:BR71"/>
    <mergeCell ref="BU70:BU71"/>
    <mergeCell ref="DG54:DJ55"/>
    <mergeCell ref="DG37:DJ38"/>
    <mergeCell ref="DG13:DJ14"/>
    <mergeCell ref="DG70:DJ71"/>
    <mergeCell ref="DM13:DM14"/>
    <mergeCell ref="DM37:DM38"/>
    <mergeCell ref="DM54:DM55"/>
    <mergeCell ref="DM70:DM71"/>
    <mergeCell ref="DK13:DL14"/>
    <mergeCell ref="DK54:DL55"/>
    <mergeCell ref="DK70:DL71"/>
    <mergeCell ref="DK37:DL38"/>
    <mergeCell ref="C13:N14"/>
    <mergeCell ref="AM13:AX14"/>
    <mergeCell ref="AV54:AV55"/>
    <mergeCell ref="AA13:AL14"/>
    <mergeCell ref="K37:N37"/>
    <mergeCell ref="O37:Z38"/>
    <mergeCell ref="AA37:AL38"/>
    <mergeCell ref="AT37:AT38"/>
    <mergeCell ref="AV37:AV38"/>
    <mergeCell ref="O13:Z14"/>
    <mergeCell ref="AS37:AS38"/>
    <mergeCell ref="AX54:AX55"/>
    <mergeCell ref="AW37:AW38"/>
    <mergeCell ref="AW54:AW55"/>
    <mergeCell ref="AA71:AA72"/>
    <mergeCell ref="AB71:AB72"/>
    <mergeCell ref="AC71:AC72"/>
    <mergeCell ref="AD71:AD72"/>
    <mergeCell ref="AE71:AE72"/>
    <mergeCell ref="AF71:AF72"/>
    <mergeCell ref="AS54:AS55"/>
    <mergeCell ref="AU37:AU38"/>
    <mergeCell ref="AX37:AX38"/>
    <mergeCell ref="AG71:AG72"/>
    <mergeCell ref="AJ70:AK70"/>
    <mergeCell ref="AH71:AH72"/>
    <mergeCell ref="AU71:AU72"/>
    <mergeCell ref="AK71:AK72"/>
    <mergeCell ref="AT71:AT72"/>
    <mergeCell ref="AO71:AO72"/>
    <mergeCell ref="AS71:AS72"/>
    <mergeCell ref="AV71:AV72"/>
    <mergeCell ref="AI71:AI72"/>
    <mergeCell ref="AJ71:AJ72"/>
    <mergeCell ref="AP71:AP72"/>
    <mergeCell ref="AL71:AL72"/>
    <mergeCell ref="AQ71:AQ72"/>
    <mergeCell ref="AN71:AN72"/>
    <mergeCell ref="AR71:AR72"/>
    <mergeCell ref="AT54:AT55"/>
    <mergeCell ref="AU54:AU55"/>
    <mergeCell ref="BC54:BC55"/>
    <mergeCell ref="AM71:AM72"/>
    <mergeCell ref="BB54:BB55"/>
    <mergeCell ref="BS37:BS38"/>
    <mergeCell ref="BH54:BH55"/>
    <mergeCell ref="BH70:BH71"/>
    <mergeCell ref="BI70:BJ71"/>
    <mergeCell ref="BI54:BJ55"/>
    <mergeCell ref="BF70:BF71"/>
    <mergeCell ref="BP37:BP38"/>
    <mergeCell ref="BO37:BO38"/>
    <mergeCell ref="BI37:BJ38"/>
    <mergeCell ref="BD37:BD38"/>
    <mergeCell ref="BH37:BH38"/>
    <mergeCell ref="BE37:BE38"/>
    <mergeCell ref="BF37:BF38"/>
    <mergeCell ref="BB37:BB38"/>
    <mergeCell ref="BA37:BA38"/>
    <mergeCell ref="AW71:AW72"/>
    <mergeCell ref="AX71:AX72"/>
    <mergeCell ref="BP70:BP71"/>
    <mergeCell ref="AY13:BJ14"/>
    <mergeCell ref="BK13:BV14"/>
    <mergeCell ref="BT37:BT38"/>
    <mergeCell ref="BR37:BR38"/>
    <mergeCell ref="BS70:BS71"/>
    <mergeCell ref="BA54:BA55"/>
    <mergeCell ref="BM37:BM38"/>
    <mergeCell ref="BC37:BC38"/>
    <mergeCell ref="BQ37:BQ38"/>
    <mergeCell ref="BN37:BN38"/>
    <mergeCell ref="BF54:BF55"/>
    <mergeCell ref="BD70:BD71"/>
    <mergeCell ref="BD54:BD55"/>
    <mergeCell ref="BU37:BU38"/>
  </mergeCells>
  <printOptions horizontalCentered="1"/>
  <pageMargins left="0.39370078740157483" right="0.19685039370078741" top="0.55118110236220474" bottom="0.51181102362204722" header="0.31496062992125984" footer="0.51181102362204722"/>
  <pageSetup paperSize="9" scale="10" orientation="portrait" horizontalDpi="300" verticalDpi="300" r:id="rId1"/>
  <headerFooter alignWithMargins="0">
    <oddFooter xml:space="preserve">&amp;C&amp;20 &amp;"60,Normal"&amp;72 5&amp;"Arial,Normal"&amp;20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Environnement International</vt:lpstr>
      <vt:lpstr>Secteur secondaire</vt:lpstr>
      <vt:lpstr>'Environnement International'!Zone_d_impression</vt:lpstr>
      <vt:lpstr>'Secteur secondaire'!Zone_d_impression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2016-01-27T15:34:14Z</dcterms:modified>
</cp:coreProperties>
</file>