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19080" yWindow="-120" windowWidth="29040" windowHeight="15840" firstSheet="3" activeTab="3"/>
  </bookViews>
  <sheets>
    <sheet name="CALENDRIER" sheetId="6" state="hidden" r:id="rId1"/>
    <sheet name="PLANNING" sheetId="4" state="hidden" r:id="rId2"/>
    <sheet name="SUIVI AGENTS" sheetId="2" state="hidden" r:id="rId3"/>
    <sheet name="FIT 2020 06 22" sheetId="39" r:id="rId4"/>
    <sheet name="LISTES" sheetId="3" r:id="rId5"/>
    <sheet name="FIT 2020 06 23" sheetId="40" state="hidden" r:id="rId6"/>
    <sheet name="FIT 2020 06 24" sheetId="41" state="hidden" r:id="rId7"/>
    <sheet name="FIT 2020 06 25" sheetId="42" state="hidden" r:id="rId8"/>
    <sheet name="FIT 2020 06 26" sheetId="43" state="hidden" r:id="rId9"/>
    <sheet name="FIT 2020 06 27" sheetId="44" state="hidden" r:id="rId10"/>
    <sheet name="FIT 2020 06 29" sheetId="45" state="hidden" r:id="rId11"/>
    <sheet name="FIT 2020 06 30" sheetId="46" state="hidden" r:id="rId12"/>
    <sheet name="FIT 2020 07 01" sheetId="47" state="hidden" r:id="rId13"/>
    <sheet name="FIT 2020 07 02" sheetId="48" state="hidden" r:id="rId14"/>
    <sheet name="FIT 2020 07 03" sheetId="49" state="hidden" r:id="rId15"/>
    <sheet name="FIT 2020 07 04" sheetId="50" state="hidden" r:id="rId16"/>
    <sheet name="RECAP" sheetId="5" state="hidden" r:id="rId17"/>
  </sheets>
  <definedNames>
    <definedName name="An_ref">RECAP!$A$2</definedName>
    <definedName name="Heure">Heures[Nbre heures]</definedName>
    <definedName name="Horaire">Horaires[Horaires]</definedName>
    <definedName name="Mois">L_Mois[Mois]</definedName>
    <definedName name="Motif">Motifs[Journée]</definedName>
    <definedName name="NomPrenom">Agents[Agents]</definedName>
    <definedName name="Service">Services[Services]</definedName>
    <definedName name="TABHEURES">LISTES!$A$1:$O$61</definedName>
    <definedName name="Travail">Travaux[Travaux]</definedName>
    <definedName name="Type" localSheetId="5">#REF!</definedName>
    <definedName name="Type" localSheetId="6">#REF!</definedName>
    <definedName name="Type" localSheetId="7">#REF!</definedName>
    <definedName name="Type" localSheetId="8">#REF!</definedName>
    <definedName name="Type" localSheetId="9">#REF!</definedName>
    <definedName name="Type" localSheetId="10">#REF!</definedName>
    <definedName name="Type" localSheetId="11">#REF!</definedName>
    <definedName name="Type" localSheetId="12">#REF!</definedName>
    <definedName name="Type" localSheetId="13">#REF!</definedName>
    <definedName name="Type" localSheetId="14">#REF!</definedName>
    <definedName name="Type" localSheetId="15">#REF!</definedName>
    <definedName name="Type">Travaux[Travaux]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39" l="1"/>
  <c r="K3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7" i="39"/>
  <c r="K8" i="39"/>
  <c r="K9" i="39"/>
  <c r="K10" i="39"/>
  <c r="K11" i="39"/>
  <c r="K32" i="50" l="1"/>
  <c r="K31" i="50"/>
  <c r="K33" i="50" s="1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32" i="49"/>
  <c r="K31" i="49"/>
  <c r="K33" i="49" s="1"/>
  <c r="K30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7" i="49"/>
  <c r="K32" i="48"/>
  <c r="K31" i="48"/>
  <c r="K33" i="48" s="1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K32" i="45"/>
  <c r="K31" i="45"/>
  <c r="K33" i="45" s="1"/>
  <c r="K34" i="45" s="1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33" i="47" l="1"/>
  <c r="K33" i="46"/>
  <c r="K34" i="46" s="1"/>
  <c r="K34" i="47" s="1"/>
  <c r="K34" i="48" s="1"/>
  <c r="K34" i="49" s="1"/>
  <c r="K34" i="50" s="1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32" i="42"/>
  <c r="K31" i="42"/>
  <c r="K33" i="42" s="1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32" i="41" s="1"/>
  <c r="K9" i="41"/>
  <c r="K8" i="41"/>
  <c r="K7" i="41"/>
  <c r="K32" i="40"/>
  <c r="K31" i="40"/>
  <c r="K33" i="40" s="1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33" i="43" l="1"/>
  <c r="K33" i="41"/>
  <c r="K33" i="39"/>
  <c r="K34" i="39" s="1"/>
  <c r="K34" i="40" s="1"/>
  <c r="K34" i="41" s="1"/>
  <c r="K34" i="42" s="1"/>
  <c r="K34" i="43" s="1"/>
  <c r="K34" i="44" s="1"/>
  <c r="E76" i="2" l="1"/>
  <c r="F76" i="2"/>
  <c r="H76" i="2"/>
  <c r="E77" i="2"/>
  <c r="F77" i="2"/>
  <c r="H77" i="2"/>
  <c r="E78" i="2"/>
  <c r="F78" i="2"/>
  <c r="H78" i="2"/>
  <c r="E69" i="2"/>
  <c r="F69" i="2"/>
  <c r="H69" i="2"/>
  <c r="E70" i="2"/>
  <c r="F70" i="2"/>
  <c r="H70" i="2"/>
  <c r="E63" i="2"/>
  <c r="F63" i="2"/>
  <c r="H63" i="2"/>
  <c r="E64" i="2"/>
  <c r="F64" i="2"/>
  <c r="H64" i="2"/>
  <c r="E65" i="2"/>
  <c r="F65" i="2"/>
  <c r="H65" i="2"/>
  <c r="E66" i="2"/>
  <c r="F66" i="2"/>
  <c r="H66" i="2"/>
  <c r="E57" i="2"/>
  <c r="F57" i="2"/>
  <c r="H57" i="2"/>
  <c r="E58" i="2"/>
  <c r="F58" i="2"/>
  <c r="H58" i="2"/>
  <c r="E52" i="2"/>
  <c r="F52" i="2"/>
  <c r="H52" i="2"/>
  <c r="E53" i="2"/>
  <c r="F53" i="2"/>
  <c r="H53" i="2"/>
  <c r="E54" i="2"/>
  <c r="F54" i="2"/>
  <c r="H54" i="2"/>
  <c r="R2" i="5"/>
  <c r="R3" i="5" l="1"/>
  <c r="A2" i="5"/>
  <c r="D6" i="5" s="1"/>
  <c r="C6" i="5"/>
  <c r="G6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H6" i="5" l="1"/>
  <c r="H611" i="2" l="1"/>
  <c r="E611" i="2"/>
  <c r="D611" i="2"/>
  <c r="F611" i="2" s="1"/>
  <c r="H610" i="2"/>
  <c r="E610" i="2"/>
  <c r="D610" i="2"/>
  <c r="F610" i="2" s="1"/>
  <c r="H609" i="2"/>
  <c r="E609" i="2"/>
  <c r="D609" i="2"/>
  <c r="F609" i="2" s="1"/>
  <c r="H608" i="2"/>
  <c r="E608" i="2"/>
  <c r="D608" i="2"/>
  <c r="F608" i="2" s="1"/>
  <c r="H607" i="2"/>
  <c r="E607" i="2"/>
  <c r="D607" i="2"/>
  <c r="F607" i="2" s="1"/>
  <c r="H606" i="2"/>
  <c r="E606" i="2"/>
  <c r="D606" i="2"/>
  <c r="F606" i="2" s="1"/>
  <c r="H605" i="2"/>
  <c r="E605" i="2"/>
  <c r="D605" i="2"/>
  <c r="F605" i="2" s="1"/>
  <c r="H604" i="2"/>
  <c r="E604" i="2"/>
  <c r="D604" i="2"/>
  <c r="F604" i="2" s="1"/>
  <c r="H603" i="2"/>
  <c r="E603" i="2"/>
  <c r="D603" i="2"/>
  <c r="F603" i="2" s="1"/>
  <c r="H602" i="2"/>
  <c r="E602" i="2"/>
  <c r="D602" i="2"/>
  <c r="F602" i="2" s="1"/>
  <c r="H601" i="2"/>
  <c r="E601" i="2"/>
  <c r="D601" i="2"/>
  <c r="F601" i="2" s="1"/>
  <c r="H600" i="2"/>
  <c r="E600" i="2"/>
  <c r="D600" i="2"/>
  <c r="F600" i="2" s="1"/>
  <c r="H599" i="2"/>
  <c r="E599" i="2"/>
  <c r="D599" i="2"/>
  <c r="F599" i="2" s="1"/>
  <c r="H598" i="2"/>
  <c r="E598" i="2"/>
  <c r="D598" i="2"/>
  <c r="F598" i="2" s="1"/>
  <c r="H597" i="2"/>
  <c r="E597" i="2"/>
  <c r="D597" i="2"/>
  <c r="F597" i="2" s="1"/>
  <c r="H596" i="2"/>
  <c r="E596" i="2"/>
  <c r="D596" i="2"/>
  <c r="F596" i="2" s="1"/>
  <c r="H595" i="2"/>
  <c r="E595" i="2"/>
  <c r="D595" i="2"/>
  <c r="F595" i="2" s="1"/>
  <c r="H594" i="2"/>
  <c r="E594" i="2"/>
  <c r="D594" i="2"/>
  <c r="F594" i="2" s="1"/>
  <c r="H593" i="2"/>
  <c r="E593" i="2"/>
  <c r="D593" i="2"/>
  <c r="F593" i="2" s="1"/>
  <c r="H592" i="2"/>
  <c r="E592" i="2"/>
  <c r="D592" i="2"/>
  <c r="F592" i="2" s="1"/>
  <c r="H591" i="2"/>
  <c r="E591" i="2"/>
  <c r="D591" i="2"/>
  <c r="F591" i="2" s="1"/>
  <c r="H590" i="2"/>
  <c r="E590" i="2"/>
  <c r="D590" i="2"/>
  <c r="F590" i="2" s="1"/>
  <c r="H589" i="2"/>
  <c r="E589" i="2"/>
  <c r="D589" i="2"/>
  <c r="F589" i="2" s="1"/>
  <c r="H588" i="2"/>
  <c r="E588" i="2"/>
  <c r="D588" i="2"/>
  <c r="F588" i="2" s="1"/>
  <c r="H587" i="2"/>
  <c r="E587" i="2"/>
  <c r="D587" i="2"/>
  <c r="F587" i="2" s="1"/>
  <c r="H586" i="2"/>
  <c r="E586" i="2"/>
  <c r="D586" i="2"/>
  <c r="F586" i="2" s="1"/>
  <c r="H585" i="2"/>
  <c r="E585" i="2"/>
  <c r="D585" i="2"/>
  <c r="F585" i="2" s="1"/>
  <c r="H584" i="2"/>
  <c r="E584" i="2"/>
  <c r="D584" i="2"/>
  <c r="F584" i="2" s="1"/>
  <c r="H583" i="2"/>
  <c r="E583" i="2"/>
  <c r="D583" i="2"/>
  <c r="F583" i="2" s="1"/>
  <c r="H582" i="2"/>
  <c r="E582" i="2"/>
  <c r="D582" i="2"/>
  <c r="F582" i="2" s="1"/>
  <c r="H581" i="2"/>
  <c r="E581" i="2"/>
  <c r="D581" i="2"/>
  <c r="F581" i="2" s="1"/>
  <c r="H580" i="2"/>
  <c r="E580" i="2"/>
  <c r="D580" i="2"/>
  <c r="F580" i="2" s="1"/>
  <c r="H579" i="2"/>
  <c r="E579" i="2"/>
  <c r="D579" i="2"/>
  <c r="F579" i="2" s="1"/>
  <c r="H578" i="2"/>
  <c r="E578" i="2"/>
  <c r="D578" i="2"/>
  <c r="F578" i="2" s="1"/>
  <c r="H577" i="2"/>
  <c r="E577" i="2"/>
  <c r="D577" i="2"/>
  <c r="F577" i="2" s="1"/>
  <c r="H576" i="2"/>
  <c r="E576" i="2"/>
  <c r="D576" i="2"/>
  <c r="F576" i="2" s="1"/>
  <c r="H575" i="2"/>
  <c r="E575" i="2"/>
  <c r="D575" i="2"/>
  <c r="F575" i="2" s="1"/>
  <c r="H574" i="2"/>
  <c r="E574" i="2"/>
  <c r="D574" i="2"/>
  <c r="F574" i="2" s="1"/>
  <c r="H573" i="2"/>
  <c r="E573" i="2"/>
  <c r="D573" i="2"/>
  <c r="F573" i="2" s="1"/>
  <c r="H572" i="2"/>
  <c r="E572" i="2"/>
  <c r="D572" i="2"/>
  <c r="F572" i="2" s="1"/>
  <c r="H571" i="2"/>
  <c r="E571" i="2"/>
  <c r="D571" i="2"/>
  <c r="F571" i="2" s="1"/>
  <c r="H570" i="2"/>
  <c r="E570" i="2"/>
  <c r="D570" i="2"/>
  <c r="F570" i="2" s="1"/>
  <c r="H569" i="2"/>
  <c r="E569" i="2"/>
  <c r="D569" i="2"/>
  <c r="F569" i="2" s="1"/>
  <c r="H568" i="2"/>
  <c r="E568" i="2"/>
  <c r="D568" i="2"/>
  <c r="F568" i="2" s="1"/>
  <c r="H567" i="2"/>
  <c r="E567" i="2"/>
  <c r="D567" i="2"/>
  <c r="F567" i="2" s="1"/>
  <c r="H566" i="2"/>
  <c r="E566" i="2"/>
  <c r="D566" i="2"/>
  <c r="F566" i="2" s="1"/>
  <c r="H565" i="2"/>
  <c r="E565" i="2"/>
  <c r="D565" i="2"/>
  <c r="F565" i="2" s="1"/>
  <c r="H564" i="2"/>
  <c r="E564" i="2"/>
  <c r="D564" i="2"/>
  <c r="F564" i="2" s="1"/>
  <c r="H563" i="2"/>
  <c r="E563" i="2"/>
  <c r="D563" i="2"/>
  <c r="F563" i="2" s="1"/>
  <c r="H562" i="2"/>
  <c r="E562" i="2"/>
  <c r="D562" i="2"/>
  <c r="F562" i="2" s="1"/>
  <c r="H561" i="2"/>
  <c r="E561" i="2"/>
  <c r="D561" i="2"/>
  <c r="F561" i="2" s="1"/>
  <c r="H560" i="2"/>
  <c r="E560" i="2"/>
  <c r="D560" i="2"/>
  <c r="F560" i="2" s="1"/>
  <c r="H559" i="2"/>
  <c r="E559" i="2"/>
  <c r="D559" i="2"/>
  <c r="F559" i="2" s="1"/>
  <c r="H558" i="2"/>
  <c r="E558" i="2"/>
  <c r="D558" i="2"/>
  <c r="F558" i="2" s="1"/>
  <c r="H557" i="2"/>
  <c r="E557" i="2"/>
  <c r="D557" i="2"/>
  <c r="F557" i="2" s="1"/>
  <c r="H556" i="2"/>
  <c r="E556" i="2"/>
  <c r="D556" i="2"/>
  <c r="F556" i="2" s="1"/>
  <c r="H555" i="2"/>
  <c r="E555" i="2"/>
  <c r="D555" i="2"/>
  <c r="F555" i="2" s="1"/>
  <c r="H554" i="2"/>
  <c r="E554" i="2"/>
  <c r="D554" i="2"/>
  <c r="F554" i="2" s="1"/>
  <c r="H553" i="2"/>
  <c r="E553" i="2"/>
  <c r="D553" i="2"/>
  <c r="F553" i="2" s="1"/>
  <c r="H552" i="2"/>
  <c r="E552" i="2"/>
  <c r="D552" i="2"/>
  <c r="F552" i="2" s="1"/>
  <c r="H551" i="2"/>
  <c r="E551" i="2"/>
  <c r="D551" i="2"/>
  <c r="F551" i="2" s="1"/>
  <c r="H550" i="2"/>
  <c r="E550" i="2"/>
  <c r="D550" i="2"/>
  <c r="F550" i="2" s="1"/>
  <c r="H549" i="2"/>
  <c r="E549" i="2"/>
  <c r="D549" i="2"/>
  <c r="F549" i="2" s="1"/>
  <c r="H548" i="2"/>
  <c r="E548" i="2"/>
  <c r="D548" i="2"/>
  <c r="F548" i="2" s="1"/>
  <c r="H547" i="2"/>
  <c r="E547" i="2"/>
  <c r="D547" i="2"/>
  <c r="F547" i="2" s="1"/>
  <c r="H546" i="2"/>
  <c r="E546" i="2"/>
  <c r="D546" i="2"/>
  <c r="F546" i="2" s="1"/>
  <c r="H545" i="2"/>
  <c r="E545" i="2"/>
  <c r="D545" i="2"/>
  <c r="F545" i="2" s="1"/>
  <c r="H544" i="2"/>
  <c r="E544" i="2"/>
  <c r="D544" i="2"/>
  <c r="F544" i="2" s="1"/>
  <c r="H543" i="2"/>
  <c r="E543" i="2"/>
  <c r="D543" i="2"/>
  <c r="F543" i="2" s="1"/>
  <c r="H542" i="2"/>
  <c r="E542" i="2"/>
  <c r="D542" i="2"/>
  <c r="F542" i="2" s="1"/>
  <c r="H541" i="2"/>
  <c r="E541" i="2"/>
  <c r="D541" i="2"/>
  <c r="F541" i="2" s="1"/>
  <c r="H540" i="2"/>
  <c r="E540" i="2"/>
  <c r="D540" i="2"/>
  <c r="F540" i="2" s="1"/>
  <c r="H539" i="2"/>
  <c r="E539" i="2"/>
  <c r="D539" i="2"/>
  <c r="F539" i="2" s="1"/>
  <c r="H538" i="2"/>
  <c r="E538" i="2"/>
  <c r="D538" i="2"/>
  <c r="F538" i="2" s="1"/>
  <c r="H537" i="2"/>
  <c r="E537" i="2"/>
  <c r="D537" i="2"/>
  <c r="F537" i="2" s="1"/>
  <c r="H536" i="2"/>
  <c r="E536" i="2"/>
  <c r="D536" i="2"/>
  <c r="F536" i="2" s="1"/>
  <c r="H535" i="2"/>
  <c r="E535" i="2"/>
  <c r="D535" i="2"/>
  <c r="F535" i="2" s="1"/>
  <c r="H534" i="2"/>
  <c r="E534" i="2"/>
  <c r="D534" i="2"/>
  <c r="F534" i="2" s="1"/>
  <c r="H533" i="2"/>
  <c r="E533" i="2"/>
  <c r="D533" i="2"/>
  <c r="F533" i="2" s="1"/>
  <c r="H532" i="2"/>
  <c r="E532" i="2"/>
  <c r="D532" i="2"/>
  <c r="F532" i="2" s="1"/>
  <c r="H531" i="2"/>
  <c r="E531" i="2"/>
  <c r="D531" i="2"/>
  <c r="F531" i="2" s="1"/>
  <c r="H530" i="2"/>
  <c r="E530" i="2"/>
  <c r="D530" i="2"/>
  <c r="F530" i="2" s="1"/>
  <c r="H529" i="2"/>
  <c r="E529" i="2"/>
  <c r="D529" i="2"/>
  <c r="F529" i="2" s="1"/>
  <c r="H528" i="2"/>
  <c r="E528" i="2"/>
  <c r="D528" i="2"/>
  <c r="F528" i="2" s="1"/>
  <c r="H527" i="2"/>
  <c r="E527" i="2"/>
  <c r="D527" i="2"/>
  <c r="F527" i="2" s="1"/>
  <c r="H526" i="2"/>
  <c r="E526" i="2"/>
  <c r="D526" i="2"/>
  <c r="F526" i="2" s="1"/>
  <c r="H525" i="2"/>
  <c r="E525" i="2"/>
  <c r="D525" i="2"/>
  <c r="F525" i="2" s="1"/>
  <c r="H524" i="2"/>
  <c r="E524" i="2"/>
  <c r="D524" i="2"/>
  <c r="F524" i="2" s="1"/>
  <c r="H523" i="2"/>
  <c r="E523" i="2"/>
  <c r="D523" i="2"/>
  <c r="F523" i="2" s="1"/>
  <c r="H522" i="2"/>
  <c r="E522" i="2"/>
  <c r="D522" i="2"/>
  <c r="F522" i="2" s="1"/>
  <c r="H521" i="2"/>
  <c r="E521" i="2"/>
  <c r="D521" i="2"/>
  <c r="F521" i="2" s="1"/>
  <c r="H520" i="2"/>
  <c r="E520" i="2"/>
  <c r="D520" i="2"/>
  <c r="F520" i="2" s="1"/>
  <c r="H519" i="2"/>
  <c r="E519" i="2"/>
  <c r="D519" i="2"/>
  <c r="F519" i="2" s="1"/>
  <c r="H518" i="2"/>
  <c r="E518" i="2"/>
  <c r="D518" i="2"/>
  <c r="F518" i="2" s="1"/>
  <c r="H517" i="2"/>
  <c r="E517" i="2"/>
  <c r="D517" i="2"/>
  <c r="F517" i="2" s="1"/>
  <c r="H516" i="2"/>
  <c r="E516" i="2"/>
  <c r="D516" i="2"/>
  <c r="F516" i="2" s="1"/>
  <c r="H515" i="2"/>
  <c r="E515" i="2"/>
  <c r="D515" i="2"/>
  <c r="F515" i="2" s="1"/>
  <c r="H514" i="2"/>
  <c r="E514" i="2"/>
  <c r="D514" i="2"/>
  <c r="F514" i="2" s="1"/>
  <c r="H513" i="2"/>
  <c r="E513" i="2"/>
  <c r="D513" i="2"/>
  <c r="F513" i="2" s="1"/>
  <c r="H512" i="2"/>
  <c r="E512" i="2"/>
  <c r="D512" i="2"/>
  <c r="F512" i="2" s="1"/>
  <c r="H511" i="2"/>
  <c r="E511" i="2"/>
  <c r="D511" i="2"/>
  <c r="F511" i="2" s="1"/>
  <c r="H510" i="2"/>
  <c r="E510" i="2"/>
  <c r="D510" i="2"/>
  <c r="F510" i="2" s="1"/>
  <c r="H509" i="2"/>
  <c r="E509" i="2"/>
  <c r="D509" i="2"/>
  <c r="F509" i="2" s="1"/>
  <c r="H508" i="2"/>
  <c r="E508" i="2"/>
  <c r="D508" i="2"/>
  <c r="F508" i="2" s="1"/>
  <c r="H507" i="2"/>
  <c r="E507" i="2"/>
  <c r="D507" i="2"/>
  <c r="F507" i="2" s="1"/>
  <c r="H506" i="2"/>
  <c r="E506" i="2"/>
  <c r="D506" i="2"/>
  <c r="F506" i="2" s="1"/>
  <c r="H505" i="2"/>
  <c r="E505" i="2"/>
  <c r="D505" i="2"/>
  <c r="F505" i="2" s="1"/>
  <c r="H504" i="2"/>
  <c r="E504" i="2"/>
  <c r="D504" i="2"/>
  <c r="F504" i="2" s="1"/>
  <c r="H503" i="2"/>
  <c r="E503" i="2"/>
  <c r="D503" i="2"/>
  <c r="F503" i="2" s="1"/>
  <c r="H502" i="2"/>
  <c r="E502" i="2"/>
  <c r="D502" i="2"/>
  <c r="F502" i="2" s="1"/>
  <c r="H501" i="2"/>
  <c r="E501" i="2"/>
  <c r="D501" i="2"/>
  <c r="F501" i="2" s="1"/>
  <c r="H500" i="2"/>
  <c r="E500" i="2"/>
  <c r="D500" i="2"/>
  <c r="F500" i="2" s="1"/>
  <c r="H499" i="2"/>
  <c r="E499" i="2"/>
  <c r="D499" i="2"/>
  <c r="F499" i="2" s="1"/>
  <c r="H498" i="2"/>
  <c r="E498" i="2"/>
  <c r="D498" i="2"/>
  <c r="F498" i="2" s="1"/>
  <c r="H497" i="2"/>
  <c r="E497" i="2"/>
  <c r="D497" i="2"/>
  <c r="F497" i="2" s="1"/>
  <c r="H496" i="2"/>
  <c r="E496" i="2"/>
  <c r="D496" i="2"/>
  <c r="F496" i="2" s="1"/>
  <c r="H495" i="2"/>
  <c r="E495" i="2"/>
  <c r="D495" i="2"/>
  <c r="F495" i="2" s="1"/>
  <c r="H494" i="2"/>
  <c r="E494" i="2"/>
  <c r="D494" i="2"/>
  <c r="F494" i="2" s="1"/>
  <c r="H493" i="2"/>
  <c r="E493" i="2"/>
  <c r="D493" i="2"/>
  <c r="F493" i="2" s="1"/>
  <c r="H492" i="2"/>
  <c r="E492" i="2"/>
  <c r="D492" i="2"/>
  <c r="F492" i="2" s="1"/>
  <c r="H491" i="2"/>
  <c r="E491" i="2"/>
  <c r="D491" i="2"/>
  <c r="F491" i="2" s="1"/>
  <c r="H490" i="2"/>
  <c r="E490" i="2"/>
  <c r="D490" i="2"/>
  <c r="F490" i="2" s="1"/>
  <c r="H489" i="2"/>
  <c r="E489" i="2"/>
  <c r="D489" i="2"/>
  <c r="F489" i="2" s="1"/>
  <c r="H488" i="2"/>
  <c r="E488" i="2"/>
  <c r="D488" i="2"/>
  <c r="F488" i="2" s="1"/>
  <c r="H487" i="2"/>
  <c r="E487" i="2"/>
  <c r="D487" i="2"/>
  <c r="F487" i="2" s="1"/>
  <c r="H486" i="2"/>
  <c r="E486" i="2"/>
  <c r="D486" i="2"/>
  <c r="F486" i="2" s="1"/>
  <c r="H485" i="2"/>
  <c r="E485" i="2"/>
  <c r="D485" i="2"/>
  <c r="F485" i="2" s="1"/>
  <c r="H484" i="2"/>
  <c r="E484" i="2"/>
  <c r="D484" i="2"/>
  <c r="F484" i="2" s="1"/>
  <c r="H483" i="2"/>
  <c r="E483" i="2"/>
  <c r="D483" i="2"/>
  <c r="F483" i="2" s="1"/>
  <c r="H482" i="2"/>
  <c r="E482" i="2"/>
  <c r="D482" i="2"/>
  <c r="F482" i="2" s="1"/>
  <c r="H481" i="2"/>
  <c r="E481" i="2"/>
  <c r="D481" i="2"/>
  <c r="F481" i="2" s="1"/>
  <c r="H480" i="2"/>
  <c r="E480" i="2"/>
  <c r="D480" i="2"/>
  <c r="F480" i="2" s="1"/>
  <c r="H479" i="2"/>
  <c r="E479" i="2"/>
  <c r="D479" i="2"/>
  <c r="F479" i="2" s="1"/>
  <c r="H478" i="2"/>
  <c r="E478" i="2"/>
  <c r="D478" i="2"/>
  <c r="F478" i="2" s="1"/>
  <c r="H477" i="2"/>
  <c r="E477" i="2"/>
  <c r="D477" i="2"/>
  <c r="F477" i="2" s="1"/>
  <c r="H476" i="2"/>
  <c r="E476" i="2"/>
  <c r="D476" i="2"/>
  <c r="F476" i="2" s="1"/>
  <c r="H475" i="2"/>
  <c r="E475" i="2"/>
  <c r="D475" i="2"/>
  <c r="F475" i="2" s="1"/>
  <c r="H474" i="2"/>
  <c r="E474" i="2"/>
  <c r="D474" i="2"/>
  <c r="F474" i="2" s="1"/>
  <c r="H473" i="2"/>
  <c r="E473" i="2"/>
  <c r="D473" i="2"/>
  <c r="F473" i="2" s="1"/>
  <c r="H472" i="2"/>
  <c r="E472" i="2"/>
  <c r="D472" i="2"/>
  <c r="F472" i="2" s="1"/>
  <c r="H471" i="2"/>
  <c r="E471" i="2"/>
  <c r="D471" i="2"/>
  <c r="F471" i="2" s="1"/>
  <c r="H470" i="2"/>
  <c r="E470" i="2"/>
  <c r="D470" i="2"/>
  <c r="F470" i="2" s="1"/>
  <c r="H469" i="2"/>
  <c r="E469" i="2"/>
  <c r="D469" i="2"/>
  <c r="F469" i="2" s="1"/>
  <c r="H468" i="2"/>
  <c r="E468" i="2"/>
  <c r="D468" i="2"/>
  <c r="F468" i="2" s="1"/>
  <c r="H467" i="2"/>
  <c r="E467" i="2"/>
  <c r="D467" i="2"/>
  <c r="F467" i="2" s="1"/>
  <c r="H466" i="2"/>
  <c r="E466" i="2"/>
  <c r="D466" i="2"/>
  <c r="F466" i="2" s="1"/>
  <c r="H465" i="2"/>
  <c r="E465" i="2"/>
  <c r="D465" i="2"/>
  <c r="F465" i="2" s="1"/>
  <c r="H464" i="2"/>
  <c r="E464" i="2"/>
  <c r="D464" i="2"/>
  <c r="F464" i="2" s="1"/>
  <c r="H463" i="2"/>
  <c r="E463" i="2"/>
  <c r="D463" i="2"/>
  <c r="F463" i="2" s="1"/>
  <c r="H462" i="2"/>
  <c r="E462" i="2"/>
  <c r="D462" i="2"/>
  <c r="F462" i="2" s="1"/>
  <c r="H461" i="2"/>
  <c r="E461" i="2"/>
  <c r="D461" i="2"/>
  <c r="F461" i="2" s="1"/>
  <c r="H460" i="2"/>
  <c r="E460" i="2"/>
  <c r="D460" i="2"/>
  <c r="F460" i="2" s="1"/>
  <c r="H459" i="2"/>
  <c r="E459" i="2"/>
  <c r="D459" i="2"/>
  <c r="F459" i="2" s="1"/>
  <c r="H458" i="2"/>
  <c r="E458" i="2"/>
  <c r="D458" i="2"/>
  <c r="F458" i="2" s="1"/>
  <c r="H457" i="2"/>
  <c r="E457" i="2"/>
  <c r="D457" i="2"/>
  <c r="F457" i="2" s="1"/>
  <c r="H456" i="2"/>
  <c r="E456" i="2"/>
  <c r="D456" i="2"/>
  <c r="F456" i="2" s="1"/>
  <c r="H455" i="2"/>
  <c r="E455" i="2"/>
  <c r="D455" i="2"/>
  <c r="F455" i="2" s="1"/>
  <c r="H454" i="2"/>
  <c r="E454" i="2"/>
  <c r="D454" i="2"/>
  <c r="F454" i="2" s="1"/>
  <c r="H453" i="2"/>
  <c r="E453" i="2"/>
  <c r="D453" i="2"/>
  <c r="F453" i="2" s="1"/>
  <c r="H452" i="2"/>
  <c r="E452" i="2"/>
  <c r="D452" i="2"/>
  <c r="F452" i="2" s="1"/>
  <c r="H451" i="2"/>
  <c r="E451" i="2"/>
  <c r="D451" i="2"/>
  <c r="F451" i="2" s="1"/>
  <c r="H450" i="2"/>
  <c r="E450" i="2"/>
  <c r="D450" i="2"/>
  <c r="F450" i="2" s="1"/>
  <c r="H449" i="2"/>
  <c r="E449" i="2"/>
  <c r="D449" i="2"/>
  <c r="F449" i="2" s="1"/>
  <c r="H448" i="2"/>
  <c r="E448" i="2"/>
  <c r="D448" i="2"/>
  <c r="F448" i="2" s="1"/>
  <c r="H447" i="2"/>
  <c r="E447" i="2"/>
  <c r="D447" i="2"/>
  <c r="F447" i="2" s="1"/>
  <c r="H446" i="2"/>
  <c r="E446" i="2"/>
  <c r="D446" i="2"/>
  <c r="F446" i="2" s="1"/>
  <c r="H445" i="2"/>
  <c r="E445" i="2"/>
  <c r="D445" i="2"/>
  <c r="F445" i="2" s="1"/>
  <c r="H444" i="2"/>
  <c r="E444" i="2"/>
  <c r="D444" i="2"/>
  <c r="F444" i="2" s="1"/>
  <c r="H443" i="2"/>
  <c r="E443" i="2"/>
  <c r="D443" i="2"/>
  <c r="F443" i="2" s="1"/>
  <c r="H442" i="2"/>
  <c r="E442" i="2"/>
  <c r="D442" i="2"/>
  <c r="F442" i="2" s="1"/>
  <c r="H441" i="2"/>
  <c r="E441" i="2"/>
  <c r="D441" i="2"/>
  <c r="F441" i="2" s="1"/>
  <c r="H440" i="2"/>
  <c r="E440" i="2"/>
  <c r="D440" i="2"/>
  <c r="F440" i="2" s="1"/>
  <c r="H439" i="2"/>
  <c r="E439" i="2"/>
  <c r="D439" i="2"/>
  <c r="F439" i="2" s="1"/>
  <c r="H438" i="2"/>
  <c r="E438" i="2"/>
  <c r="D438" i="2"/>
  <c r="F438" i="2" s="1"/>
  <c r="H437" i="2"/>
  <c r="E437" i="2"/>
  <c r="D437" i="2"/>
  <c r="F437" i="2" s="1"/>
  <c r="H436" i="2"/>
  <c r="E436" i="2"/>
  <c r="D436" i="2"/>
  <c r="F436" i="2" s="1"/>
  <c r="H435" i="2"/>
  <c r="E435" i="2"/>
  <c r="D435" i="2"/>
  <c r="F435" i="2" s="1"/>
  <c r="H434" i="2"/>
  <c r="E434" i="2"/>
  <c r="D434" i="2"/>
  <c r="F434" i="2" s="1"/>
  <c r="H433" i="2"/>
  <c r="E433" i="2"/>
  <c r="D433" i="2"/>
  <c r="F433" i="2" s="1"/>
  <c r="H432" i="2"/>
  <c r="E432" i="2"/>
  <c r="D432" i="2"/>
  <c r="F432" i="2" s="1"/>
  <c r="H431" i="2"/>
  <c r="E431" i="2"/>
  <c r="D431" i="2"/>
  <c r="F431" i="2" s="1"/>
  <c r="H430" i="2"/>
  <c r="E430" i="2"/>
  <c r="D430" i="2"/>
  <c r="F430" i="2" s="1"/>
  <c r="H429" i="2"/>
  <c r="E429" i="2"/>
  <c r="D429" i="2"/>
  <c r="F429" i="2" s="1"/>
  <c r="H428" i="2"/>
  <c r="E428" i="2"/>
  <c r="D428" i="2"/>
  <c r="F428" i="2" s="1"/>
  <c r="H427" i="2"/>
  <c r="E427" i="2"/>
  <c r="D427" i="2"/>
  <c r="F427" i="2" s="1"/>
  <c r="H426" i="2"/>
  <c r="E426" i="2"/>
  <c r="D426" i="2"/>
  <c r="F426" i="2" s="1"/>
  <c r="H425" i="2"/>
  <c r="E425" i="2"/>
  <c r="D425" i="2"/>
  <c r="F425" i="2" s="1"/>
  <c r="H424" i="2"/>
  <c r="E424" i="2"/>
  <c r="D424" i="2"/>
  <c r="F424" i="2" s="1"/>
  <c r="H423" i="2"/>
  <c r="E423" i="2"/>
  <c r="D423" i="2"/>
  <c r="F423" i="2" s="1"/>
  <c r="H422" i="2"/>
  <c r="E422" i="2"/>
  <c r="D422" i="2"/>
  <c r="F422" i="2" s="1"/>
  <c r="H421" i="2"/>
  <c r="E421" i="2"/>
  <c r="D421" i="2"/>
  <c r="F421" i="2" s="1"/>
  <c r="H420" i="2"/>
  <c r="E420" i="2"/>
  <c r="D420" i="2"/>
  <c r="F420" i="2" s="1"/>
  <c r="H419" i="2"/>
  <c r="E419" i="2"/>
  <c r="D419" i="2"/>
  <c r="F419" i="2" s="1"/>
  <c r="H418" i="2"/>
  <c r="E418" i="2"/>
  <c r="D418" i="2"/>
  <c r="F418" i="2" s="1"/>
  <c r="H417" i="2"/>
  <c r="E417" i="2"/>
  <c r="D417" i="2"/>
  <c r="F417" i="2" s="1"/>
  <c r="H416" i="2"/>
  <c r="E416" i="2"/>
  <c r="D416" i="2"/>
  <c r="F416" i="2" s="1"/>
  <c r="H415" i="2"/>
  <c r="E415" i="2"/>
  <c r="D415" i="2"/>
  <c r="F415" i="2" s="1"/>
  <c r="H414" i="2"/>
  <c r="E414" i="2"/>
  <c r="D414" i="2"/>
  <c r="F414" i="2" s="1"/>
  <c r="H413" i="2"/>
  <c r="E413" i="2"/>
  <c r="D413" i="2"/>
  <c r="F413" i="2" s="1"/>
  <c r="H412" i="2"/>
  <c r="E412" i="2"/>
  <c r="D412" i="2"/>
  <c r="F412" i="2" s="1"/>
  <c r="H411" i="2"/>
  <c r="E411" i="2"/>
  <c r="D411" i="2"/>
  <c r="F411" i="2" s="1"/>
  <c r="H410" i="2"/>
  <c r="E410" i="2"/>
  <c r="D410" i="2"/>
  <c r="F410" i="2" s="1"/>
  <c r="H409" i="2"/>
  <c r="E409" i="2"/>
  <c r="D409" i="2"/>
  <c r="F409" i="2" s="1"/>
  <c r="H408" i="2"/>
  <c r="E408" i="2"/>
  <c r="D408" i="2"/>
  <c r="F408" i="2" s="1"/>
  <c r="H407" i="2"/>
  <c r="E407" i="2"/>
  <c r="D407" i="2"/>
  <c r="F407" i="2" s="1"/>
  <c r="H406" i="2"/>
  <c r="E406" i="2"/>
  <c r="D406" i="2"/>
  <c r="F406" i="2" s="1"/>
  <c r="H405" i="2"/>
  <c r="E405" i="2"/>
  <c r="D405" i="2"/>
  <c r="F405" i="2" s="1"/>
  <c r="H404" i="2"/>
  <c r="E404" i="2"/>
  <c r="D404" i="2"/>
  <c r="F404" i="2" s="1"/>
  <c r="H403" i="2"/>
  <c r="E403" i="2"/>
  <c r="D403" i="2"/>
  <c r="F403" i="2" s="1"/>
  <c r="H402" i="2"/>
  <c r="E402" i="2"/>
  <c r="D402" i="2"/>
  <c r="F402" i="2" s="1"/>
  <c r="H401" i="2"/>
  <c r="E401" i="2"/>
  <c r="D401" i="2"/>
  <c r="F401" i="2" s="1"/>
  <c r="H400" i="2"/>
  <c r="E400" i="2"/>
  <c r="D400" i="2"/>
  <c r="F400" i="2" s="1"/>
  <c r="H399" i="2"/>
  <c r="E399" i="2"/>
  <c r="D399" i="2"/>
  <c r="F399" i="2" s="1"/>
  <c r="H398" i="2"/>
  <c r="E398" i="2"/>
  <c r="D398" i="2"/>
  <c r="F398" i="2" s="1"/>
  <c r="H397" i="2"/>
  <c r="E397" i="2"/>
  <c r="D397" i="2"/>
  <c r="F397" i="2" s="1"/>
  <c r="H396" i="2"/>
  <c r="E396" i="2"/>
  <c r="D396" i="2"/>
  <c r="F396" i="2" s="1"/>
  <c r="H395" i="2"/>
  <c r="E395" i="2"/>
  <c r="D395" i="2"/>
  <c r="F395" i="2" s="1"/>
  <c r="H394" i="2"/>
  <c r="E394" i="2"/>
  <c r="D394" i="2"/>
  <c r="F394" i="2" s="1"/>
  <c r="H393" i="2"/>
  <c r="E393" i="2"/>
  <c r="D393" i="2"/>
  <c r="F393" i="2" s="1"/>
  <c r="H392" i="2"/>
  <c r="E392" i="2"/>
  <c r="D392" i="2"/>
  <c r="F392" i="2" s="1"/>
  <c r="H391" i="2"/>
  <c r="E391" i="2"/>
  <c r="D391" i="2"/>
  <c r="F391" i="2" s="1"/>
  <c r="H390" i="2"/>
  <c r="E390" i="2"/>
  <c r="D390" i="2"/>
  <c r="F390" i="2" s="1"/>
  <c r="H389" i="2"/>
  <c r="E389" i="2"/>
  <c r="D389" i="2"/>
  <c r="F389" i="2" s="1"/>
  <c r="H388" i="2"/>
  <c r="E388" i="2"/>
  <c r="D388" i="2"/>
  <c r="F388" i="2" s="1"/>
  <c r="H387" i="2"/>
  <c r="E387" i="2"/>
  <c r="D387" i="2"/>
  <c r="F387" i="2" s="1"/>
  <c r="H386" i="2"/>
  <c r="E386" i="2"/>
  <c r="D386" i="2"/>
  <c r="F386" i="2" s="1"/>
  <c r="H385" i="2"/>
  <c r="E385" i="2"/>
  <c r="D385" i="2"/>
  <c r="F385" i="2" s="1"/>
  <c r="H384" i="2"/>
  <c r="E384" i="2"/>
  <c r="D384" i="2"/>
  <c r="F384" i="2" s="1"/>
  <c r="H383" i="2"/>
  <c r="E383" i="2"/>
  <c r="D383" i="2"/>
  <c r="F383" i="2" s="1"/>
  <c r="H382" i="2"/>
  <c r="E382" i="2"/>
  <c r="D382" i="2"/>
  <c r="F382" i="2" s="1"/>
  <c r="H381" i="2"/>
  <c r="E381" i="2"/>
  <c r="D381" i="2"/>
  <c r="F381" i="2" s="1"/>
  <c r="H380" i="2"/>
  <c r="E380" i="2"/>
  <c r="D380" i="2"/>
  <c r="F380" i="2" s="1"/>
  <c r="H379" i="2"/>
  <c r="E379" i="2"/>
  <c r="D379" i="2"/>
  <c r="F379" i="2" s="1"/>
  <c r="H378" i="2"/>
  <c r="E378" i="2"/>
  <c r="D378" i="2"/>
  <c r="F378" i="2" s="1"/>
  <c r="H377" i="2"/>
  <c r="E377" i="2"/>
  <c r="D377" i="2"/>
  <c r="F377" i="2" s="1"/>
  <c r="H376" i="2"/>
  <c r="E376" i="2"/>
  <c r="D376" i="2"/>
  <c r="F376" i="2" s="1"/>
  <c r="H375" i="2"/>
  <c r="E375" i="2"/>
  <c r="D375" i="2"/>
  <c r="F375" i="2" s="1"/>
  <c r="H374" i="2"/>
  <c r="E374" i="2"/>
  <c r="D374" i="2"/>
  <c r="F374" i="2" s="1"/>
  <c r="H373" i="2"/>
  <c r="E373" i="2"/>
  <c r="D373" i="2"/>
  <c r="F373" i="2" s="1"/>
  <c r="H372" i="2"/>
  <c r="E372" i="2"/>
  <c r="D372" i="2"/>
  <c r="F372" i="2" s="1"/>
  <c r="H371" i="2"/>
  <c r="E371" i="2"/>
  <c r="D371" i="2"/>
  <c r="F371" i="2" s="1"/>
  <c r="H370" i="2"/>
  <c r="E370" i="2"/>
  <c r="D370" i="2"/>
  <c r="F370" i="2" s="1"/>
  <c r="H369" i="2"/>
  <c r="E369" i="2"/>
  <c r="D369" i="2"/>
  <c r="F369" i="2" s="1"/>
  <c r="H368" i="2"/>
  <c r="E368" i="2"/>
  <c r="D368" i="2"/>
  <c r="F368" i="2" s="1"/>
  <c r="H367" i="2"/>
  <c r="E367" i="2"/>
  <c r="D367" i="2"/>
  <c r="F367" i="2" s="1"/>
  <c r="H366" i="2"/>
  <c r="E366" i="2"/>
  <c r="D366" i="2"/>
  <c r="F366" i="2" s="1"/>
  <c r="H365" i="2"/>
  <c r="E365" i="2"/>
  <c r="D365" i="2"/>
  <c r="F365" i="2" s="1"/>
  <c r="H364" i="2"/>
  <c r="E364" i="2"/>
  <c r="D364" i="2"/>
  <c r="F364" i="2" s="1"/>
  <c r="H363" i="2"/>
  <c r="E363" i="2"/>
  <c r="D363" i="2"/>
  <c r="F363" i="2" s="1"/>
  <c r="H362" i="2"/>
  <c r="E362" i="2"/>
  <c r="D362" i="2"/>
  <c r="F362" i="2" s="1"/>
  <c r="H361" i="2"/>
  <c r="E361" i="2"/>
  <c r="D361" i="2"/>
  <c r="F361" i="2" s="1"/>
  <c r="H360" i="2"/>
  <c r="E360" i="2"/>
  <c r="D360" i="2"/>
  <c r="F360" i="2" s="1"/>
  <c r="H359" i="2"/>
  <c r="E359" i="2"/>
  <c r="D359" i="2"/>
  <c r="F359" i="2" s="1"/>
  <c r="H358" i="2"/>
  <c r="E358" i="2"/>
  <c r="D358" i="2"/>
  <c r="F358" i="2" s="1"/>
  <c r="H357" i="2"/>
  <c r="E357" i="2"/>
  <c r="D357" i="2"/>
  <c r="F357" i="2" s="1"/>
  <c r="H356" i="2"/>
  <c r="E356" i="2"/>
  <c r="D356" i="2"/>
  <c r="F356" i="2" s="1"/>
  <c r="H355" i="2"/>
  <c r="E355" i="2"/>
  <c r="D355" i="2"/>
  <c r="F355" i="2" s="1"/>
  <c r="H354" i="2"/>
  <c r="E354" i="2"/>
  <c r="D354" i="2"/>
  <c r="F354" i="2" s="1"/>
  <c r="H353" i="2"/>
  <c r="E353" i="2"/>
  <c r="D353" i="2"/>
  <c r="F353" i="2" s="1"/>
  <c r="H352" i="2"/>
  <c r="E352" i="2"/>
  <c r="D352" i="2"/>
  <c r="F352" i="2" s="1"/>
  <c r="H351" i="2"/>
  <c r="E351" i="2"/>
  <c r="D351" i="2"/>
  <c r="F351" i="2" s="1"/>
  <c r="H350" i="2"/>
  <c r="E350" i="2"/>
  <c r="D350" i="2"/>
  <c r="F350" i="2" s="1"/>
  <c r="H349" i="2"/>
  <c r="E349" i="2"/>
  <c r="D349" i="2"/>
  <c r="F349" i="2" s="1"/>
  <c r="H348" i="2"/>
  <c r="E348" i="2"/>
  <c r="D348" i="2"/>
  <c r="F348" i="2" s="1"/>
  <c r="H347" i="2"/>
  <c r="E347" i="2"/>
  <c r="D347" i="2"/>
  <c r="F347" i="2" s="1"/>
  <c r="H346" i="2"/>
  <c r="E346" i="2"/>
  <c r="D346" i="2"/>
  <c r="F346" i="2" s="1"/>
  <c r="H345" i="2"/>
  <c r="E345" i="2"/>
  <c r="D345" i="2"/>
  <c r="F345" i="2" s="1"/>
  <c r="H344" i="2"/>
  <c r="E344" i="2"/>
  <c r="D344" i="2"/>
  <c r="F344" i="2" s="1"/>
  <c r="H343" i="2"/>
  <c r="E343" i="2"/>
  <c r="D343" i="2"/>
  <c r="F343" i="2" s="1"/>
  <c r="H342" i="2"/>
  <c r="E342" i="2"/>
  <c r="D342" i="2"/>
  <c r="F342" i="2" s="1"/>
  <c r="H341" i="2"/>
  <c r="E341" i="2"/>
  <c r="D341" i="2"/>
  <c r="F341" i="2" s="1"/>
  <c r="H340" i="2"/>
  <c r="E340" i="2"/>
  <c r="D340" i="2"/>
  <c r="F340" i="2" s="1"/>
  <c r="H339" i="2"/>
  <c r="E339" i="2"/>
  <c r="D339" i="2"/>
  <c r="F339" i="2" s="1"/>
  <c r="H338" i="2"/>
  <c r="E338" i="2"/>
  <c r="D338" i="2"/>
  <c r="F338" i="2" s="1"/>
  <c r="H337" i="2"/>
  <c r="E337" i="2"/>
  <c r="D337" i="2"/>
  <c r="F337" i="2" s="1"/>
  <c r="H336" i="2"/>
  <c r="E336" i="2"/>
  <c r="D336" i="2"/>
  <c r="F336" i="2" s="1"/>
  <c r="H335" i="2"/>
  <c r="E335" i="2"/>
  <c r="D335" i="2"/>
  <c r="F335" i="2" s="1"/>
  <c r="H334" i="2"/>
  <c r="E334" i="2"/>
  <c r="D334" i="2"/>
  <c r="F334" i="2" s="1"/>
  <c r="H333" i="2"/>
  <c r="E333" i="2"/>
  <c r="D333" i="2"/>
  <c r="F333" i="2" s="1"/>
  <c r="H332" i="2"/>
  <c r="E332" i="2"/>
  <c r="D332" i="2"/>
  <c r="F332" i="2" s="1"/>
  <c r="H331" i="2"/>
  <c r="E331" i="2"/>
  <c r="D331" i="2"/>
  <c r="F331" i="2" s="1"/>
  <c r="H330" i="2"/>
  <c r="E330" i="2"/>
  <c r="D330" i="2"/>
  <c r="F330" i="2" s="1"/>
  <c r="H329" i="2"/>
  <c r="E329" i="2"/>
  <c r="D329" i="2"/>
  <c r="F329" i="2" s="1"/>
  <c r="H328" i="2"/>
  <c r="E328" i="2"/>
  <c r="D328" i="2"/>
  <c r="F328" i="2" s="1"/>
  <c r="H327" i="2"/>
  <c r="E327" i="2"/>
  <c r="D327" i="2"/>
  <c r="F327" i="2" s="1"/>
  <c r="H326" i="2"/>
  <c r="E326" i="2"/>
  <c r="D326" i="2"/>
  <c r="F326" i="2" s="1"/>
  <c r="H325" i="2"/>
  <c r="E325" i="2"/>
  <c r="D325" i="2"/>
  <c r="F325" i="2" s="1"/>
  <c r="H324" i="2"/>
  <c r="E324" i="2"/>
  <c r="D324" i="2"/>
  <c r="F324" i="2" s="1"/>
  <c r="H323" i="2"/>
  <c r="E323" i="2"/>
  <c r="D323" i="2"/>
  <c r="F323" i="2" s="1"/>
  <c r="H322" i="2"/>
  <c r="E322" i="2"/>
  <c r="D322" i="2"/>
  <c r="F322" i="2" s="1"/>
  <c r="H321" i="2"/>
  <c r="E321" i="2"/>
  <c r="D321" i="2"/>
  <c r="F321" i="2" s="1"/>
  <c r="H320" i="2"/>
  <c r="E320" i="2"/>
  <c r="D320" i="2"/>
  <c r="F320" i="2" s="1"/>
  <c r="H319" i="2"/>
  <c r="E319" i="2"/>
  <c r="D319" i="2"/>
  <c r="F319" i="2" s="1"/>
  <c r="H318" i="2"/>
  <c r="E318" i="2"/>
  <c r="D318" i="2"/>
  <c r="F318" i="2" s="1"/>
  <c r="H317" i="2"/>
  <c r="E317" i="2"/>
  <c r="D317" i="2"/>
  <c r="F317" i="2" s="1"/>
  <c r="H316" i="2"/>
  <c r="E316" i="2"/>
  <c r="D316" i="2"/>
  <c r="F316" i="2" s="1"/>
  <c r="H315" i="2"/>
  <c r="E315" i="2"/>
  <c r="D315" i="2"/>
  <c r="F315" i="2" s="1"/>
  <c r="H314" i="2"/>
  <c r="E314" i="2"/>
  <c r="D314" i="2"/>
  <c r="F314" i="2" s="1"/>
  <c r="H313" i="2"/>
  <c r="E313" i="2"/>
  <c r="D313" i="2"/>
  <c r="F313" i="2" s="1"/>
  <c r="H312" i="2"/>
  <c r="E312" i="2"/>
  <c r="D312" i="2"/>
  <c r="F312" i="2" s="1"/>
  <c r="H311" i="2"/>
  <c r="E311" i="2"/>
  <c r="D311" i="2"/>
  <c r="F311" i="2" s="1"/>
  <c r="H310" i="2"/>
  <c r="E310" i="2"/>
  <c r="D310" i="2"/>
  <c r="F310" i="2" s="1"/>
  <c r="H309" i="2"/>
  <c r="E309" i="2"/>
  <c r="D309" i="2"/>
  <c r="F309" i="2" s="1"/>
  <c r="H308" i="2"/>
  <c r="E308" i="2"/>
  <c r="D308" i="2"/>
  <c r="F308" i="2" s="1"/>
  <c r="H307" i="2"/>
  <c r="E307" i="2"/>
  <c r="D307" i="2"/>
  <c r="F307" i="2" s="1"/>
  <c r="H306" i="2"/>
  <c r="E306" i="2"/>
  <c r="D306" i="2"/>
  <c r="F306" i="2" s="1"/>
  <c r="H305" i="2"/>
  <c r="E305" i="2"/>
  <c r="D305" i="2"/>
  <c r="F305" i="2" s="1"/>
  <c r="H304" i="2"/>
  <c r="E304" i="2"/>
  <c r="D304" i="2"/>
  <c r="F304" i="2" s="1"/>
  <c r="H303" i="2"/>
  <c r="E303" i="2"/>
  <c r="D303" i="2"/>
  <c r="F303" i="2" s="1"/>
  <c r="H302" i="2"/>
  <c r="E302" i="2"/>
  <c r="D302" i="2"/>
  <c r="F302" i="2" s="1"/>
  <c r="H301" i="2"/>
  <c r="E301" i="2"/>
  <c r="D301" i="2"/>
  <c r="F301" i="2" s="1"/>
  <c r="H300" i="2"/>
  <c r="E300" i="2"/>
  <c r="D300" i="2"/>
  <c r="F300" i="2" s="1"/>
  <c r="H299" i="2"/>
  <c r="E299" i="2"/>
  <c r="D299" i="2"/>
  <c r="F299" i="2" s="1"/>
  <c r="H298" i="2"/>
  <c r="E298" i="2"/>
  <c r="D298" i="2"/>
  <c r="F298" i="2" s="1"/>
  <c r="H297" i="2"/>
  <c r="E297" i="2"/>
  <c r="D297" i="2"/>
  <c r="F297" i="2" s="1"/>
  <c r="H296" i="2"/>
  <c r="E296" i="2"/>
  <c r="D296" i="2"/>
  <c r="F296" i="2" s="1"/>
  <c r="H295" i="2"/>
  <c r="E295" i="2"/>
  <c r="D295" i="2"/>
  <c r="F295" i="2" s="1"/>
  <c r="H294" i="2"/>
  <c r="E294" i="2"/>
  <c r="D294" i="2"/>
  <c r="F294" i="2" s="1"/>
  <c r="H293" i="2"/>
  <c r="E293" i="2"/>
  <c r="D293" i="2"/>
  <c r="F293" i="2" s="1"/>
  <c r="H292" i="2"/>
  <c r="E292" i="2"/>
  <c r="D292" i="2"/>
  <c r="F292" i="2" s="1"/>
  <c r="H291" i="2"/>
  <c r="E291" i="2"/>
  <c r="D291" i="2"/>
  <c r="F291" i="2" s="1"/>
  <c r="H290" i="2"/>
  <c r="E290" i="2"/>
  <c r="D290" i="2"/>
  <c r="F290" i="2" s="1"/>
  <c r="H289" i="2"/>
  <c r="E289" i="2"/>
  <c r="D289" i="2"/>
  <c r="F289" i="2" s="1"/>
  <c r="H288" i="2"/>
  <c r="E288" i="2"/>
  <c r="D288" i="2"/>
  <c r="F288" i="2" s="1"/>
  <c r="H287" i="2"/>
  <c r="E287" i="2"/>
  <c r="D287" i="2"/>
  <c r="F287" i="2" s="1"/>
  <c r="H286" i="2"/>
  <c r="E286" i="2"/>
  <c r="D286" i="2"/>
  <c r="F286" i="2" s="1"/>
  <c r="H285" i="2"/>
  <c r="E285" i="2"/>
  <c r="D285" i="2"/>
  <c r="F285" i="2" s="1"/>
  <c r="H284" i="2"/>
  <c r="E284" i="2"/>
  <c r="D284" i="2"/>
  <c r="F284" i="2" s="1"/>
  <c r="H283" i="2"/>
  <c r="E283" i="2"/>
  <c r="D283" i="2"/>
  <c r="F283" i="2" s="1"/>
  <c r="H282" i="2"/>
  <c r="E282" i="2"/>
  <c r="D282" i="2"/>
  <c r="F282" i="2" s="1"/>
  <c r="H281" i="2"/>
  <c r="E281" i="2"/>
  <c r="D281" i="2"/>
  <c r="F281" i="2" s="1"/>
  <c r="H280" i="2"/>
  <c r="E280" i="2"/>
  <c r="D280" i="2"/>
  <c r="F280" i="2" s="1"/>
  <c r="H279" i="2"/>
  <c r="E279" i="2"/>
  <c r="D279" i="2"/>
  <c r="F279" i="2" s="1"/>
  <c r="H278" i="2"/>
  <c r="E278" i="2"/>
  <c r="D278" i="2"/>
  <c r="F278" i="2" s="1"/>
  <c r="H277" i="2"/>
  <c r="E277" i="2"/>
  <c r="D277" i="2"/>
  <c r="F277" i="2" s="1"/>
  <c r="H276" i="2"/>
  <c r="E276" i="2"/>
  <c r="D276" i="2"/>
  <c r="F276" i="2" s="1"/>
  <c r="H275" i="2"/>
  <c r="E275" i="2"/>
  <c r="D275" i="2"/>
  <c r="F275" i="2" s="1"/>
  <c r="H274" i="2"/>
  <c r="E274" i="2"/>
  <c r="D274" i="2"/>
  <c r="F274" i="2" s="1"/>
  <c r="H273" i="2"/>
  <c r="E273" i="2"/>
  <c r="D273" i="2"/>
  <c r="F273" i="2" s="1"/>
  <c r="H272" i="2"/>
  <c r="E272" i="2"/>
  <c r="D272" i="2"/>
  <c r="F272" i="2" s="1"/>
  <c r="H271" i="2"/>
  <c r="E271" i="2"/>
  <c r="D271" i="2"/>
  <c r="F271" i="2" s="1"/>
  <c r="H270" i="2"/>
  <c r="E270" i="2"/>
  <c r="D270" i="2"/>
  <c r="F270" i="2" s="1"/>
  <c r="H269" i="2"/>
  <c r="E269" i="2"/>
  <c r="D269" i="2"/>
  <c r="F269" i="2" s="1"/>
  <c r="H268" i="2"/>
  <c r="E268" i="2"/>
  <c r="D268" i="2"/>
  <c r="F268" i="2" s="1"/>
  <c r="H267" i="2"/>
  <c r="E267" i="2"/>
  <c r="D267" i="2"/>
  <c r="F267" i="2" s="1"/>
  <c r="H266" i="2"/>
  <c r="E266" i="2"/>
  <c r="D266" i="2"/>
  <c r="F266" i="2" s="1"/>
  <c r="H265" i="2"/>
  <c r="E265" i="2"/>
  <c r="D265" i="2"/>
  <c r="F265" i="2" s="1"/>
  <c r="H264" i="2"/>
  <c r="E264" i="2"/>
  <c r="D264" i="2"/>
  <c r="F264" i="2" s="1"/>
  <c r="H263" i="2"/>
  <c r="E263" i="2"/>
  <c r="D263" i="2"/>
  <c r="F263" i="2" s="1"/>
  <c r="H262" i="2"/>
  <c r="E262" i="2"/>
  <c r="D262" i="2"/>
  <c r="F262" i="2" s="1"/>
  <c r="H261" i="2"/>
  <c r="E261" i="2"/>
  <c r="D261" i="2"/>
  <c r="F261" i="2" s="1"/>
  <c r="H260" i="2"/>
  <c r="E260" i="2"/>
  <c r="D260" i="2"/>
  <c r="F260" i="2" s="1"/>
  <c r="H259" i="2"/>
  <c r="E259" i="2"/>
  <c r="D259" i="2"/>
  <c r="F259" i="2" s="1"/>
  <c r="H258" i="2"/>
  <c r="E258" i="2"/>
  <c r="D258" i="2"/>
  <c r="F258" i="2" s="1"/>
  <c r="H257" i="2"/>
  <c r="E257" i="2"/>
  <c r="D257" i="2"/>
  <c r="F257" i="2" s="1"/>
  <c r="H256" i="2"/>
  <c r="E256" i="2"/>
  <c r="D256" i="2"/>
  <c r="F256" i="2" s="1"/>
  <c r="H255" i="2"/>
  <c r="E255" i="2"/>
  <c r="D255" i="2"/>
  <c r="F255" i="2" s="1"/>
  <c r="H254" i="2"/>
  <c r="E254" i="2"/>
  <c r="D254" i="2"/>
  <c r="F254" i="2" s="1"/>
  <c r="H253" i="2"/>
  <c r="E253" i="2"/>
  <c r="D253" i="2"/>
  <c r="F253" i="2" s="1"/>
  <c r="H252" i="2"/>
  <c r="E252" i="2"/>
  <c r="D252" i="2"/>
  <c r="F252" i="2" s="1"/>
  <c r="H251" i="2"/>
  <c r="E251" i="2"/>
  <c r="D251" i="2"/>
  <c r="F251" i="2" s="1"/>
  <c r="H250" i="2"/>
  <c r="E250" i="2"/>
  <c r="D250" i="2"/>
  <c r="F250" i="2" s="1"/>
  <c r="H249" i="2"/>
  <c r="E249" i="2"/>
  <c r="D249" i="2"/>
  <c r="F249" i="2" s="1"/>
  <c r="H248" i="2"/>
  <c r="E248" i="2"/>
  <c r="D248" i="2"/>
  <c r="F248" i="2" s="1"/>
  <c r="H247" i="2"/>
  <c r="E247" i="2"/>
  <c r="D247" i="2"/>
  <c r="F247" i="2" s="1"/>
  <c r="H246" i="2"/>
  <c r="E246" i="2"/>
  <c r="D246" i="2"/>
  <c r="F246" i="2" s="1"/>
  <c r="H245" i="2"/>
  <c r="E245" i="2"/>
  <c r="D245" i="2"/>
  <c r="F245" i="2" s="1"/>
  <c r="H244" i="2"/>
  <c r="E244" i="2"/>
  <c r="D244" i="2"/>
  <c r="F244" i="2" s="1"/>
  <c r="H243" i="2"/>
  <c r="E243" i="2"/>
  <c r="D243" i="2"/>
  <c r="F243" i="2" s="1"/>
  <c r="H242" i="2"/>
  <c r="E242" i="2"/>
  <c r="D242" i="2"/>
  <c r="F242" i="2" s="1"/>
  <c r="H241" i="2"/>
  <c r="E241" i="2"/>
  <c r="D241" i="2"/>
  <c r="F241" i="2" s="1"/>
  <c r="H240" i="2"/>
  <c r="E240" i="2"/>
  <c r="D240" i="2"/>
  <c r="F240" i="2" s="1"/>
  <c r="H239" i="2"/>
  <c r="E239" i="2"/>
  <c r="D239" i="2"/>
  <c r="F239" i="2" s="1"/>
  <c r="H238" i="2"/>
  <c r="E238" i="2"/>
  <c r="D238" i="2"/>
  <c r="F238" i="2" s="1"/>
  <c r="H237" i="2"/>
  <c r="E237" i="2"/>
  <c r="D237" i="2"/>
  <c r="F237" i="2" s="1"/>
  <c r="H236" i="2"/>
  <c r="E236" i="2"/>
  <c r="D236" i="2"/>
  <c r="F236" i="2" s="1"/>
  <c r="H235" i="2"/>
  <c r="E235" i="2"/>
  <c r="D235" i="2"/>
  <c r="F235" i="2" s="1"/>
  <c r="H234" i="2"/>
  <c r="E234" i="2"/>
  <c r="D234" i="2"/>
  <c r="F234" i="2" s="1"/>
  <c r="H233" i="2"/>
  <c r="E233" i="2"/>
  <c r="D233" i="2"/>
  <c r="F233" i="2" s="1"/>
  <c r="H232" i="2"/>
  <c r="E232" i="2"/>
  <c r="D232" i="2"/>
  <c r="F232" i="2" s="1"/>
  <c r="H231" i="2"/>
  <c r="E231" i="2"/>
  <c r="D231" i="2"/>
  <c r="F231" i="2" s="1"/>
  <c r="H230" i="2"/>
  <c r="E230" i="2"/>
  <c r="D230" i="2"/>
  <c r="F230" i="2" s="1"/>
  <c r="H229" i="2"/>
  <c r="E229" i="2"/>
  <c r="D229" i="2"/>
  <c r="F229" i="2" s="1"/>
  <c r="H228" i="2"/>
  <c r="E228" i="2"/>
  <c r="D228" i="2"/>
  <c r="F228" i="2" s="1"/>
  <c r="H227" i="2"/>
  <c r="E227" i="2"/>
  <c r="D227" i="2"/>
  <c r="F227" i="2" s="1"/>
  <c r="H226" i="2"/>
  <c r="E226" i="2"/>
  <c r="D226" i="2"/>
  <c r="F226" i="2" s="1"/>
  <c r="H225" i="2"/>
  <c r="E225" i="2"/>
  <c r="D225" i="2"/>
  <c r="F225" i="2" s="1"/>
  <c r="H224" i="2"/>
  <c r="E224" i="2"/>
  <c r="D224" i="2"/>
  <c r="F224" i="2" s="1"/>
  <c r="H223" i="2"/>
  <c r="E223" i="2"/>
  <c r="D223" i="2"/>
  <c r="F223" i="2" s="1"/>
  <c r="H222" i="2"/>
  <c r="E222" i="2"/>
  <c r="D222" i="2"/>
  <c r="F222" i="2" s="1"/>
  <c r="H221" i="2"/>
  <c r="E221" i="2"/>
  <c r="D221" i="2"/>
  <c r="F221" i="2" s="1"/>
  <c r="H220" i="2"/>
  <c r="E220" i="2"/>
  <c r="D220" i="2"/>
  <c r="F220" i="2" s="1"/>
  <c r="H219" i="2"/>
  <c r="E219" i="2"/>
  <c r="D219" i="2"/>
  <c r="F219" i="2" s="1"/>
  <c r="H218" i="2"/>
  <c r="E218" i="2"/>
  <c r="D218" i="2"/>
  <c r="F218" i="2" s="1"/>
  <c r="H217" i="2"/>
  <c r="E217" i="2"/>
  <c r="D217" i="2"/>
  <c r="F217" i="2" s="1"/>
  <c r="H216" i="2"/>
  <c r="E216" i="2"/>
  <c r="D216" i="2"/>
  <c r="F216" i="2" s="1"/>
  <c r="H215" i="2"/>
  <c r="E215" i="2"/>
  <c r="D215" i="2"/>
  <c r="F215" i="2" s="1"/>
  <c r="H214" i="2"/>
  <c r="E214" i="2"/>
  <c r="D214" i="2"/>
  <c r="F214" i="2" s="1"/>
  <c r="H213" i="2"/>
  <c r="E213" i="2"/>
  <c r="D213" i="2"/>
  <c r="F213" i="2" s="1"/>
  <c r="H212" i="2"/>
  <c r="E212" i="2"/>
  <c r="D212" i="2"/>
  <c r="F212" i="2" s="1"/>
  <c r="H211" i="2"/>
  <c r="E211" i="2"/>
  <c r="D211" i="2"/>
  <c r="F211" i="2" s="1"/>
  <c r="H210" i="2"/>
  <c r="E210" i="2"/>
  <c r="D210" i="2"/>
  <c r="F210" i="2" s="1"/>
  <c r="H209" i="2"/>
  <c r="E209" i="2"/>
  <c r="D209" i="2"/>
  <c r="F209" i="2" s="1"/>
  <c r="H208" i="2"/>
  <c r="E208" i="2"/>
  <c r="D208" i="2"/>
  <c r="F208" i="2" s="1"/>
  <c r="H207" i="2"/>
  <c r="E207" i="2"/>
  <c r="D207" i="2"/>
  <c r="F207" i="2" s="1"/>
  <c r="H206" i="2"/>
  <c r="E206" i="2"/>
  <c r="D206" i="2"/>
  <c r="F206" i="2" s="1"/>
  <c r="H205" i="2"/>
  <c r="E205" i="2"/>
  <c r="D205" i="2"/>
  <c r="F205" i="2" s="1"/>
  <c r="H204" i="2"/>
  <c r="E204" i="2"/>
  <c r="D204" i="2"/>
  <c r="F204" i="2" s="1"/>
  <c r="H203" i="2"/>
  <c r="E203" i="2"/>
  <c r="D203" i="2"/>
  <c r="F203" i="2" s="1"/>
  <c r="H202" i="2"/>
  <c r="E202" i="2"/>
  <c r="D202" i="2"/>
  <c r="F202" i="2" s="1"/>
  <c r="H201" i="2"/>
  <c r="E201" i="2"/>
  <c r="D201" i="2"/>
  <c r="F201" i="2" s="1"/>
  <c r="H200" i="2"/>
  <c r="E200" i="2"/>
  <c r="D200" i="2"/>
  <c r="F200" i="2" s="1"/>
  <c r="H199" i="2"/>
  <c r="E199" i="2"/>
  <c r="D199" i="2"/>
  <c r="F199" i="2" s="1"/>
  <c r="H198" i="2"/>
  <c r="E198" i="2"/>
  <c r="D198" i="2"/>
  <c r="F198" i="2" s="1"/>
  <c r="H197" i="2"/>
  <c r="E197" i="2"/>
  <c r="D197" i="2"/>
  <c r="F197" i="2" s="1"/>
  <c r="H196" i="2"/>
  <c r="E196" i="2"/>
  <c r="D196" i="2"/>
  <c r="F196" i="2" s="1"/>
  <c r="H195" i="2"/>
  <c r="E195" i="2"/>
  <c r="D195" i="2"/>
  <c r="F195" i="2" s="1"/>
  <c r="H194" i="2"/>
  <c r="E194" i="2"/>
  <c r="D194" i="2"/>
  <c r="F194" i="2" s="1"/>
  <c r="H193" i="2"/>
  <c r="E193" i="2"/>
  <c r="D193" i="2"/>
  <c r="F193" i="2" s="1"/>
  <c r="H192" i="2"/>
  <c r="E192" i="2"/>
  <c r="D192" i="2"/>
  <c r="F192" i="2" s="1"/>
  <c r="H191" i="2"/>
  <c r="E191" i="2"/>
  <c r="D191" i="2"/>
  <c r="F191" i="2" s="1"/>
  <c r="H190" i="2"/>
  <c r="E190" i="2"/>
  <c r="D190" i="2"/>
  <c r="F190" i="2" s="1"/>
  <c r="H189" i="2"/>
  <c r="E189" i="2"/>
  <c r="D189" i="2"/>
  <c r="F189" i="2" s="1"/>
  <c r="H188" i="2"/>
  <c r="E188" i="2"/>
  <c r="D188" i="2"/>
  <c r="F188" i="2" s="1"/>
  <c r="H187" i="2"/>
  <c r="E187" i="2"/>
  <c r="D187" i="2"/>
  <c r="F187" i="2" s="1"/>
  <c r="H186" i="2"/>
  <c r="E186" i="2"/>
  <c r="D186" i="2"/>
  <c r="F186" i="2" s="1"/>
  <c r="H185" i="2"/>
  <c r="E185" i="2"/>
  <c r="D185" i="2"/>
  <c r="F185" i="2" s="1"/>
  <c r="H184" i="2"/>
  <c r="E184" i="2"/>
  <c r="D184" i="2"/>
  <c r="F184" i="2" s="1"/>
  <c r="H183" i="2"/>
  <c r="E183" i="2"/>
  <c r="D183" i="2"/>
  <c r="F183" i="2" s="1"/>
  <c r="H182" i="2"/>
  <c r="E182" i="2"/>
  <c r="D182" i="2"/>
  <c r="F182" i="2" s="1"/>
  <c r="H181" i="2"/>
  <c r="E181" i="2"/>
  <c r="D181" i="2"/>
  <c r="F181" i="2" s="1"/>
  <c r="H180" i="2"/>
  <c r="E180" i="2"/>
  <c r="D180" i="2"/>
  <c r="F180" i="2" s="1"/>
  <c r="H179" i="2"/>
  <c r="E179" i="2"/>
  <c r="D179" i="2"/>
  <c r="F179" i="2" s="1"/>
  <c r="H178" i="2"/>
  <c r="E178" i="2"/>
  <c r="D178" i="2"/>
  <c r="F178" i="2" s="1"/>
  <c r="H177" i="2"/>
  <c r="E177" i="2"/>
  <c r="D177" i="2"/>
  <c r="F177" i="2" s="1"/>
  <c r="H176" i="2"/>
  <c r="E176" i="2"/>
  <c r="D176" i="2"/>
  <c r="F176" i="2" s="1"/>
  <c r="H175" i="2"/>
  <c r="E175" i="2"/>
  <c r="D175" i="2"/>
  <c r="F175" i="2" s="1"/>
  <c r="H174" i="2"/>
  <c r="E174" i="2"/>
  <c r="D174" i="2"/>
  <c r="F174" i="2" s="1"/>
  <c r="H173" i="2"/>
  <c r="E173" i="2"/>
  <c r="D173" i="2"/>
  <c r="F173" i="2" s="1"/>
  <c r="H172" i="2"/>
  <c r="E172" i="2"/>
  <c r="D172" i="2"/>
  <c r="F172" i="2" s="1"/>
  <c r="H171" i="2"/>
  <c r="E171" i="2"/>
  <c r="D171" i="2"/>
  <c r="F171" i="2" s="1"/>
  <c r="H170" i="2"/>
  <c r="E170" i="2"/>
  <c r="D170" i="2"/>
  <c r="F170" i="2" s="1"/>
  <c r="H169" i="2"/>
  <c r="E169" i="2"/>
  <c r="D169" i="2"/>
  <c r="F169" i="2" s="1"/>
  <c r="H168" i="2"/>
  <c r="E168" i="2"/>
  <c r="D168" i="2"/>
  <c r="F168" i="2" s="1"/>
  <c r="H167" i="2"/>
  <c r="E167" i="2"/>
  <c r="D167" i="2"/>
  <c r="F167" i="2" s="1"/>
  <c r="H166" i="2"/>
  <c r="E166" i="2"/>
  <c r="D166" i="2"/>
  <c r="F166" i="2" s="1"/>
  <c r="H165" i="2"/>
  <c r="E165" i="2"/>
  <c r="D165" i="2"/>
  <c r="F165" i="2" s="1"/>
  <c r="H164" i="2"/>
  <c r="E164" i="2"/>
  <c r="D164" i="2"/>
  <c r="F164" i="2" s="1"/>
  <c r="H163" i="2"/>
  <c r="E163" i="2"/>
  <c r="D163" i="2"/>
  <c r="F163" i="2" s="1"/>
  <c r="H162" i="2"/>
  <c r="E162" i="2"/>
  <c r="D162" i="2"/>
  <c r="F162" i="2" s="1"/>
  <c r="H161" i="2"/>
  <c r="E161" i="2"/>
  <c r="D161" i="2"/>
  <c r="F161" i="2" s="1"/>
  <c r="H160" i="2"/>
  <c r="E160" i="2"/>
  <c r="D160" i="2"/>
  <c r="F160" i="2" s="1"/>
  <c r="H159" i="2"/>
  <c r="E159" i="2"/>
  <c r="D159" i="2"/>
  <c r="F159" i="2" s="1"/>
  <c r="H158" i="2"/>
  <c r="E158" i="2"/>
  <c r="D158" i="2"/>
  <c r="F158" i="2" s="1"/>
  <c r="H157" i="2"/>
  <c r="E157" i="2"/>
  <c r="D157" i="2"/>
  <c r="F157" i="2" s="1"/>
  <c r="H156" i="2"/>
  <c r="E156" i="2"/>
  <c r="D156" i="2"/>
  <c r="F156" i="2" s="1"/>
  <c r="H155" i="2"/>
  <c r="E155" i="2"/>
  <c r="D155" i="2"/>
  <c r="F155" i="2" s="1"/>
  <c r="H154" i="2"/>
  <c r="E154" i="2"/>
  <c r="D154" i="2"/>
  <c r="F154" i="2" s="1"/>
  <c r="H153" i="2"/>
  <c r="E153" i="2"/>
  <c r="D153" i="2"/>
  <c r="F153" i="2" s="1"/>
  <c r="H152" i="2"/>
  <c r="E152" i="2"/>
  <c r="D152" i="2"/>
  <c r="F152" i="2" s="1"/>
  <c r="H151" i="2"/>
  <c r="E151" i="2"/>
  <c r="D151" i="2"/>
  <c r="F151" i="2" s="1"/>
  <c r="H150" i="2"/>
  <c r="E150" i="2"/>
  <c r="D150" i="2"/>
  <c r="F150" i="2" s="1"/>
  <c r="H149" i="2"/>
  <c r="E149" i="2"/>
  <c r="D149" i="2"/>
  <c r="F149" i="2" s="1"/>
  <c r="H148" i="2"/>
  <c r="E148" i="2"/>
  <c r="D148" i="2"/>
  <c r="F148" i="2" s="1"/>
  <c r="H147" i="2"/>
  <c r="E147" i="2"/>
  <c r="D147" i="2"/>
  <c r="F147" i="2" s="1"/>
  <c r="H146" i="2"/>
  <c r="E146" i="2"/>
  <c r="D146" i="2"/>
  <c r="F146" i="2" s="1"/>
  <c r="H145" i="2"/>
  <c r="E145" i="2"/>
  <c r="D145" i="2"/>
  <c r="F145" i="2" s="1"/>
  <c r="H144" i="2"/>
  <c r="E144" i="2"/>
  <c r="D144" i="2"/>
  <c r="F144" i="2" s="1"/>
  <c r="H143" i="2"/>
  <c r="E143" i="2"/>
  <c r="D143" i="2"/>
  <c r="F143" i="2" s="1"/>
  <c r="H142" i="2"/>
  <c r="E142" i="2"/>
  <c r="D142" i="2"/>
  <c r="F142" i="2" s="1"/>
  <c r="H141" i="2"/>
  <c r="E141" i="2"/>
  <c r="D141" i="2"/>
  <c r="F141" i="2" s="1"/>
  <c r="H140" i="2"/>
  <c r="E140" i="2"/>
  <c r="D140" i="2"/>
  <c r="F140" i="2" s="1"/>
  <c r="H139" i="2"/>
  <c r="E139" i="2"/>
  <c r="D139" i="2"/>
  <c r="F139" i="2" s="1"/>
  <c r="H138" i="2"/>
  <c r="E138" i="2"/>
  <c r="D138" i="2"/>
  <c r="F138" i="2" s="1"/>
  <c r="H137" i="2"/>
  <c r="E137" i="2"/>
  <c r="D137" i="2"/>
  <c r="F137" i="2" s="1"/>
  <c r="H136" i="2"/>
  <c r="E136" i="2"/>
  <c r="D136" i="2"/>
  <c r="F136" i="2" s="1"/>
  <c r="H135" i="2"/>
  <c r="E135" i="2"/>
  <c r="D135" i="2"/>
  <c r="F135" i="2" s="1"/>
  <c r="H134" i="2"/>
  <c r="E134" i="2"/>
  <c r="D134" i="2"/>
  <c r="F134" i="2" s="1"/>
  <c r="H133" i="2"/>
  <c r="E133" i="2"/>
  <c r="D133" i="2"/>
  <c r="F133" i="2" s="1"/>
  <c r="H132" i="2"/>
  <c r="E132" i="2"/>
  <c r="D132" i="2"/>
  <c r="F132" i="2" s="1"/>
  <c r="H131" i="2"/>
  <c r="E131" i="2"/>
  <c r="D131" i="2"/>
  <c r="F131" i="2" s="1"/>
  <c r="H130" i="2"/>
  <c r="E130" i="2"/>
  <c r="D130" i="2"/>
  <c r="F130" i="2" s="1"/>
  <c r="H129" i="2"/>
  <c r="E129" i="2"/>
  <c r="D129" i="2"/>
  <c r="F129" i="2" s="1"/>
  <c r="H128" i="2"/>
  <c r="E128" i="2"/>
  <c r="D128" i="2"/>
  <c r="F128" i="2" s="1"/>
  <c r="H127" i="2"/>
  <c r="E127" i="2"/>
  <c r="D127" i="2"/>
  <c r="F127" i="2" s="1"/>
  <c r="H126" i="2"/>
  <c r="E126" i="2"/>
  <c r="D126" i="2"/>
  <c r="F126" i="2" s="1"/>
  <c r="H125" i="2"/>
  <c r="E125" i="2"/>
  <c r="D125" i="2"/>
  <c r="F125" i="2" s="1"/>
  <c r="H124" i="2"/>
  <c r="E124" i="2"/>
  <c r="D124" i="2"/>
  <c r="F124" i="2" s="1"/>
  <c r="H123" i="2"/>
  <c r="E123" i="2"/>
  <c r="D123" i="2"/>
  <c r="F123" i="2" s="1"/>
  <c r="H122" i="2"/>
  <c r="E122" i="2"/>
  <c r="D122" i="2"/>
  <c r="F122" i="2" s="1"/>
  <c r="H121" i="2"/>
  <c r="E121" i="2"/>
  <c r="D121" i="2"/>
  <c r="F121" i="2" s="1"/>
  <c r="H120" i="2"/>
  <c r="E120" i="2"/>
  <c r="D120" i="2"/>
  <c r="F120" i="2" s="1"/>
  <c r="H119" i="2"/>
  <c r="E119" i="2"/>
  <c r="D119" i="2"/>
  <c r="F119" i="2" s="1"/>
  <c r="H118" i="2"/>
  <c r="E118" i="2"/>
  <c r="D118" i="2"/>
  <c r="F118" i="2" s="1"/>
  <c r="H117" i="2"/>
  <c r="E117" i="2"/>
  <c r="D117" i="2"/>
  <c r="F117" i="2" s="1"/>
  <c r="H116" i="2"/>
  <c r="E116" i="2"/>
  <c r="D116" i="2"/>
  <c r="F116" i="2" s="1"/>
  <c r="H115" i="2"/>
  <c r="E115" i="2"/>
  <c r="D115" i="2"/>
  <c r="F115" i="2" s="1"/>
  <c r="H114" i="2"/>
  <c r="E114" i="2"/>
  <c r="D114" i="2"/>
  <c r="F114" i="2" s="1"/>
  <c r="H113" i="2"/>
  <c r="E113" i="2"/>
  <c r="D113" i="2"/>
  <c r="F113" i="2" s="1"/>
  <c r="H112" i="2"/>
  <c r="E112" i="2"/>
  <c r="D112" i="2"/>
  <c r="F112" i="2" s="1"/>
  <c r="H111" i="2"/>
  <c r="E111" i="2"/>
  <c r="D111" i="2"/>
  <c r="F111" i="2" s="1"/>
  <c r="H110" i="2"/>
  <c r="E110" i="2"/>
  <c r="D110" i="2"/>
  <c r="F110" i="2" s="1"/>
  <c r="H109" i="2"/>
  <c r="E109" i="2"/>
  <c r="D109" i="2"/>
  <c r="F109" i="2" s="1"/>
  <c r="H108" i="2"/>
  <c r="E108" i="2"/>
  <c r="D108" i="2"/>
  <c r="F108" i="2" s="1"/>
  <c r="H107" i="2"/>
  <c r="E107" i="2"/>
  <c r="D107" i="2"/>
  <c r="F107" i="2" s="1"/>
  <c r="H106" i="2"/>
  <c r="E106" i="2"/>
  <c r="D106" i="2"/>
  <c r="F106" i="2" s="1"/>
  <c r="H105" i="2"/>
  <c r="E105" i="2"/>
  <c r="D105" i="2"/>
  <c r="F105" i="2" s="1"/>
  <c r="H104" i="2"/>
  <c r="E104" i="2"/>
  <c r="D104" i="2"/>
  <c r="F104" i="2" s="1"/>
  <c r="H103" i="2"/>
  <c r="E103" i="2"/>
  <c r="D103" i="2"/>
  <c r="F103" i="2" s="1"/>
  <c r="H102" i="2"/>
  <c r="E102" i="2"/>
  <c r="D102" i="2"/>
  <c r="F102" i="2" s="1"/>
  <c r="H101" i="2"/>
  <c r="E101" i="2"/>
  <c r="D101" i="2"/>
  <c r="F101" i="2" s="1"/>
  <c r="H100" i="2"/>
  <c r="E100" i="2"/>
  <c r="D100" i="2"/>
  <c r="F100" i="2" s="1"/>
  <c r="H99" i="2"/>
  <c r="E99" i="2"/>
  <c r="D99" i="2"/>
  <c r="F99" i="2" s="1"/>
  <c r="H98" i="2"/>
  <c r="E98" i="2"/>
  <c r="D98" i="2"/>
  <c r="F98" i="2" s="1"/>
  <c r="H97" i="2"/>
  <c r="E97" i="2"/>
  <c r="D97" i="2"/>
  <c r="F97" i="2" s="1"/>
  <c r="H96" i="2"/>
  <c r="E96" i="2"/>
  <c r="D96" i="2"/>
  <c r="F96" i="2" s="1"/>
  <c r="H95" i="2"/>
  <c r="E95" i="2"/>
  <c r="D95" i="2"/>
  <c r="F95" i="2" s="1"/>
  <c r="H94" i="2"/>
  <c r="E94" i="2"/>
  <c r="D94" i="2"/>
  <c r="F94" i="2" s="1"/>
  <c r="H93" i="2"/>
  <c r="E93" i="2"/>
  <c r="D93" i="2"/>
  <c r="F93" i="2" s="1"/>
  <c r="H92" i="2"/>
  <c r="E92" i="2"/>
  <c r="D92" i="2"/>
  <c r="F92" i="2" s="1"/>
  <c r="H91" i="2"/>
  <c r="E91" i="2"/>
  <c r="D91" i="2"/>
  <c r="F91" i="2" s="1"/>
  <c r="H90" i="2"/>
  <c r="E90" i="2"/>
  <c r="D90" i="2"/>
  <c r="F90" i="2" s="1"/>
  <c r="H89" i="2"/>
  <c r="E89" i="2"/>
  <c r="D89" i="2"/>
  <c r="F89" i="2" s="1"/>
  <c r="H88" i="2"/>
  <c r="E88" i="2"/>
  <c r="D88" i="2"/>
  <c r="F88" i="2" s="1"/>
  <c r="H87" i="2"/>
  <c r="E87" i="2"/>
  <c r="D87" i="2"/>
  <c r="F87" i="2" s="1"/>
  <c r="H86" i="2"/>
  <c r="E86" i="2"/>
  <c r="D86" i="2"/>
  <c r="F86" i="2" s="1"/>
  <c r="E2" i="2"/>
  <c r="H2" i="2"/>
  <c r="D36" i="2"/>
  <c r="F36" i="2" s="1"/>
  <c r="D38" i="2"/>
  <c r="F38" i="2" s="1"/>
  <c r="D39" i="2"/>
  <c r="F39" i="2" s="1"/>
  <c r="D40" i="2"/>
  <c r="F40" i="2" s="1"/>
  <c r="D41" i="2"/>
  <c r="F41" i="2" s="1"/>
  <c r="D42" i="2"/>
  <c r="F42" i="2" s="1"/>
  <c r="D43" i="2"/>
  <c r="F43" i="2" s="1"/>
  <c r="D44" i="2"/>
  <c r="F44" i="2" s="1"/>
  <c r="D45" i="2"/>
  <c r="F45" i="2" s="1"/>
  <c r="D46" i="2"/>
  <c r="D47" i="2"/>
  <c r="F47" i="2" s="1"/>
  <c r="D48" i="2"/>
  <c r="F48" i="2" s="1"/>
  <c r="D49" i="2"/>
  <c r="F49" i="2" s="1"/>
  <c r="D50" i="2"/>
  <c r="F50" i="2" s="1"/>
  <c r="F51" i="2"/>
  <c r="D55" i="2"/>
  <c r="F55" i="2" s="1"/>
  <c r="F56" i="2"/>
  <c r="D59" i="2"/>
  <c r="F59" i="2" s="1"/>
  <c r="D60" i="2"/>
  <c r="F60" i="2" s="1"/>
  <c r="D61" i="2"/>
  <c r="F61" i="2" s="1"/>
  <c r="F62" i="2"/>
  <c r="D67" i="2"/>
  <c r="F67" i="2" s="1"/>
  <c r="F68" i="2"/>
  <c r="F71" i="2"/>
  <c r="F72" i="2"/>
  <c r="F73" i="2"/>
  <c r="F74" i="2"/>
  <c r="F75" i="2"/>
  <c r="D79" i="2"/>
  <c r="F79" i="2" s="1"/>
  <c r="D80" i="2"/>
  <c r="F80" i="2" s="1"/>
  <c r="D81" i="2"/>
  <c r="F81" i="2" s="1"/>
  <c r="D82" i="2"/>
  <c r="F82" i="2" s="1"/>
  <c r="D83" i="2"/>
  <c r="F83" i="2" s="1"/>
  <c r="D84" i="2"/>
  <c r="F84" i="2" s="1"/>
  <c r="D85" i="2"/>
  <c r="F85" i="2" s="1"/>
  <c r="D35" i="2"/>
  <c r="F35" i="2" s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5" i="2"/>
  <c r="E56" i="2"/>
  <c r="E59" i="2"/>
  <c r="E60" i="2"/>
  <c r="E61" i="2"/>
  <c r="E62" i="2"/>
  <c r="E67" i="2"/>
  <c r="E68" i="2"/>
  <c r="E71" i="2"/>
  <c r="E72" i="2"/>
  <c r="E73" i="2"/>
  <c r="E74" i="2"/>
  <c r="E75" i="2"/>
  <c r="E79" i="2"/>
  <c r="E80" i="2"/>
  <c r="E81" i="2"/>
  <c r="E82" i="2"/>
  <c r="E83" i="2"/>
  <c r="E84" i="2"/>
  <c r="E85" i="2"/>
  <c r="F37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5" i="2"/>
  <c r="H56" i="2"/>
  <c r="H59" i="2"/>
  <c r="H60" i="2"/>
  <c r="H61" i="2"/>
  <c r="H62" i="2"/>
  <c r="H67" i="2"/>
  <c r="H68" i="2"/>
  <c r="H71" i="2"/>
  <c r="H72" i="2"/>
  <c r="H73" i="2"/>
  <c r="H74" i="2"/>
  <c r="H75" i="2"/>
  <c r="H79" i="2"/>
  <c r="H80" i="2"/>
  <c r="H81" i="2"/>
  <c r="H82" i="2"/>
  <c r="H83" i="2"/>
  <c r="H84" i="2"/>
  <c r="H85" i="2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34" i="2"/>
  <c r="F34" i="2" s="1"/>
  <c r="D18" i="2"/>
  <c r="E29" i="2"/>
  <c r="E30" i="2"/>
  <c r="E31" i="2"/>
  <c r="E32" i="2"/>
  <c r="E33" i="2"/>
  <c r="E34" i="2"/>
  <c r="H29" i="2"/>
  <c r="H30" i="2"/>
  <c r="H31" i="2"/>
  <c r="H32" i="2"/>
  <c r="H33" i="2"/>
  <c r="H3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F16" i="2"/>
  <c r="F17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E4" i="2"/>
  <c r="H4" i="2"/>
  <c r="F46" i="2" l="1"/>
  <c r="F18" i="2"/>
  <c r="E3" i="2"/>
  <c r="H3" i="2" l="1"/>
  <c r="AF14" i="6" l="1"/>
  <c r="B1" i="6"/>
  <c r="AJ7" i="6" s="1"/>
  <c r="AK7" i="6" s="1"/>
  <c r="R30" i="6"/>
  <c r="R32" i="6" s="1"/>
  <c r="S32" i="6" s="1"/>
  <c r="T32" i="6" s="1"/>
  <c r="U32" i="6" s="1"/>
  <c r="V32" i="6" s="1"/>
  <c r="W32" i="6" s="1"/>
  <c r="X32" i="6" s="1"/>
  <c r="R33" i="6" s="1"/>
  <c r="J30" i="6"/>
  <c r="J32" i="6" s="1"/>
  <c r="K32" i="6" s="1"/>
  <c r="L32" i="6" s="1"/>
  <c r="M32" i="6" s="1"/>
  <c r="N32" i="6" s="1"/>
  <c r="O32" i="6" s="1"/>
  <c r="P32" i="6" s="1"/>
  <c r="J33" i="6" s="1"/>
  <c r="B30" i="6"/>
  <c r="B32" i="6" s="1"/>
  <c r="C32" i="6" s="1"/>
  <c r="D32" i="6" s="1"/>
  <c r="E32" i="6" s="1"/>
  <c r="F32" i="6" s="1"/>
  <c r="G32" i="6" s="1"/>
  <c r="H32" i="6" s="1"/>
  <c r="B33" i="6" s="1"/>
  <c r="R21" i="6"/>
  <c r="R23" i="6" s="1"/>
  <c r="S23" i="6" s="1"/>
  <c r="T23" i="6" s="1"/>
  <c r="U23" i="6" s="1"/>
  <c r="V23" i="6" s="1"/>
  <c r="W23" i="6" s="1"/>
  <c r="X23" i="6" s="1"/>
  <c r="R24" i="6" s="1"/>
  <c r="J21" i="6"/>
  <c r="J23" i="6" s="1"/>
  <c r="K23" i="6" s="1"/>
  <c r="L23" i="6" s="1"/>
  <c r="M23" i="6" s="1"/>
  <c r="N23" i="6" s="1"/>
  <c r="O23" i="6" s="1"/>
  <c r="P23" i="6" s="1"/>
  <c r="J24" i="6" s="1"/>
  <c r="B21" i="6"/>
  <c r="B23" i="6" s="1"/>
  <c r="C23" i="6" s="1"/>
  <c r="D23" i="6" s="1"/>
  <c r="E23" i="6" s="1"/>
  <c r="F23" i="6" s="1"/>
  <c r="G23" i="6" s="1"/>
  <c r="H23" i="6" s="1"/>
  <c r="B24" i="6" s="1"/>
  <c r="AF15" i="6"/>
  <c r="AF16" i="6"/>
  <c r="AF13" i="6"/>
  <c r="R12" i="6"/>
  <c r="R14" i="6" s="1"/>
  <c r="S14" i="6" s="1"/>
  <c r="T14" i="6" s="1"/>
  <c r="U14" i="6" s="1"/>
  <c r="V14" i="6" s="1"/>
  <c r="W14" i="6" s="1"/>
  <c r="X14" i="6" s="1"/>
  <c r="R15" i="6" s="1"/>
  <c r="J12" i="6"/>
  <c r="J14" i="6" s="1"/>
  <c r="K14" i="6" s="1"/>
  <c r="L14" i="6" s="1"/>
  <c r="M14" i="6" s="1"/>
  <c r="N14" i="6" s="1"/>
  <c r="O14" i="6" s="1"/>
  <c r="P14" i="6" s="1"/>
  <c r="J15" i="6" s="1"/>
  <c r="B12" i="6"/>
  <c r="B14" i="6" s="1"/>
  <c r="C14" i="6" s="1"/>
  <c r="D14" i="6" s="1"/>
  <c r="E14" i="6" s="1"/>
  <c r="F14" i="6" s="1"/>
  <c r="G14" i="6" s="1"/>
  <c r="H14" i="6" s="1"/>
  <c r="B15" i="6" s="1"/>
  <c r="AF9" i="6"/>
  <c r="AF8" i="6"/>
  <c r="AF7" i="6"/>
  <c r="AF6" i="6"/>
  <c r="AF5" i="6"/>
  <c r="AF4" i="6"/>
  <c r="R3" i="6"/>
  <c r="R5" i="6" s="1"/>
  <c r="S5" i="6" s="1"/>
  <c r="T5" i="6" s="1"/>
  <c r="U5" i="6" s="1"/>
  <c r="V5" i="6" s="1"/>
  <c r="W5" i="6" s="1"/>
  <c r="X5" i="6" s="1"/>
  <c r="R6" i="6" s="1"/>
  <c r="J3" i="6"/>
  <c r="J5" i="6" s="1"/>
  <c r="K5" i="6" s="1"/>
  <c r="L5" i="6" s="1"/>
  <c r="M5" i="6" s="1"/>
  <c r="N5" i="6" s="1"/>
  <c r="O5" i="6" s="1"/>
  <c r="P5" i="6" s="1"/>
  <c r="J6" i="6" s="1"/>
  <c r="B3" i="6"/>
  <c r="B5" i="6" s="1"/>
  <c r="C5" i="6" s="1"/>
  <c r="D5" i="6" s="1"/>
  <c r="E5" i="6" s="1"/>
  <c r="F5" i="6" s="1"/>
  <c r="G5" i="6" s="1"/>
  <c r="H5" i="6" s="1"/>
  <c r="B6" i="6" s="1"/>
  <c r="AG14" i="6" l="1"/>
  <c r="F13" i="2"/>
  <c r="AG13" i="6"/>
  <c r="F12" i="2"/>
  <c r="AG16" i="6"/>
  <c r="F15" i="2"/>
  <c r="AG15" i="6"/>
  <c r="F14" i="2"/>
  <c r="AG5" i="6"/>
  <c r="AG6" i="6"/>
  <c r="AG7" i="6"/>
  <c r="AG4" i="6"/>
  <c r="AG8" i="6"/>
  <c r="AG9" i="6"/>
  <c r="AF12" i="6"/>
  <c r="F11" i="2" s="1"/>
  <c r="AF10" i="6"/>
  <c r="AF11" i="6"/>
  <c r="AJ12" i="6"/>
  <c r="AK12" i="6" s="1"/>
  <c r="AJ5" i="6"/>
  <c r="AK5" i="6" s="1"/>
  <c r="AM5" i="6" s="1"/>
  <c r="AJ8" i="6"/>
  <c r="AK8" i="6" s="1"/>
  <c r="AJ15" i="6"/>
  <c r="AJ9" i="6"/>
  <c r="AK9" i="6" s="1"/>
  <c r="AE3" i="6"/>
  <c r="AJ6" i="6"/>
  <c r="AJ13" i="6"/>
  <c r="AJ10" i="6"/>
  <c r="AK10" i="6" s="1"/>
  <c r="AM10" i="6" s="1"/>
  <c r="AJ4" i="6"/>
  <c r="R13" i="6"/>
  <c r="S15" i="6"/>
  <c r="C24" i="6"/>
  <c r="B22" i="6"/>
  <c r="S6" i="6"/>
  <c r="R4" i="6"/>
  <c r="B4" i="6"/>
  <c r="C6" i="6"/>
  <c r="B31" i="6"/>
  <c r="C33" i="6"/>
  <c r="R22" i="6"/>
  <c r="S24" i="6"/>
  <c r="K6" i="6"/>
  <c r="J4" i="6"/>
  <c r="K33" i="6"/>
  <c r="J31" i="6"/>
  <c r="K15" i="6"/>
  <c r="J13" i="6"/>
  <c r="B13" i="6"/>
  <c r="C15" i="6"/>
  <c r="J22" i="6"/>
  <c r="K24" i="6"/>
  <c r="S33" i="6"/>
  <c r="R31" i="6"/>
  <c r="AM7" i="6"/>
  <c r="AJ14" i="6"/>
  <c r="AK18" i="6"/>
  <c r="AJ11" i="6"/>
  <c r="F5" i="2" l="1"/>
  <c r="F10" i="2"/>
  <c r="F9" i="2"/>
  <c r="F7" i="2"/>
  <c r="F6" i="2"/>
  <c r="F2" i="2"/>
  <c r="Y8" i="5" s="1"/>
  <c r="F8" i="2"/>
  <c r="F3" i="2"/>
  <c r="F4" i="2"/>
  <c r="AG11" i="6"/>
  <c r="AG10" i="6"/>
  <c r="AG12" i="6"/>
  <c r="AL7" i="6"/>
  <c r="AL12" i="6"/>
  <c r="AL8" i="6"/>
  <c r="AK6" i="6"/>
  <c r="AM6" i="6" s="1"/>
  <c r="AK15" i="6"/>
  <c r="AL15" i="6" s="1"/>
  <c r="AK13" i="6"/>
  <c r="AL13" i="6" s="1"/>
  <c r="AK4" i="6"/>
  <c r="AM4" i="6" s="1"/>
  <c r="AL5" i="6"/>
  <c r="AL9" i="6"/>
  <c r="AM9" i="6"/>
  <c r="AM8" i="6"/>
  <c r="C4" i="6"/>
  <c r="D6" i="6"/>
  <c r="AM12" i="6"/>
  <c r="L24" i="6"/>
  <c r="K22" i="6"/>
  <c r="AK14" i="6"/>
  <c r="AL18" i="6" s="1"/>
  <c r="AL10" i="6"/>
  <c r="D15" i="6"/>
  <c r="C13" i="6"/>
  <c r="S22" i="6"/>
  <c r="T24" i="6"/>
  <c r="T6" i="6"/>
  <c r="S4" i="6"/>
  <c r="C22" i="6"/>
  <c r="D24" i="6"/>
  <c r="T33" i="6"/>
  <c r="S31" i="6"/>
  <c r="K4" i="6"/>
  <c r="L6" i="6"/>
  <c r="AK11" i="6"/>
  <c r="AL11" i="6" s="1"/>
  <c r="D33" i="6"/>
  <c r="C31" i="6"/>
  <c r="T15" i="6"/>
  <c r="S13" i="6"/>
  <c r="K31" i="6"/>
  <c r="L33" i="6"/>
  <c r="K13" i="6"/>
  <c r="L15" i="6"/>
  <c r="T8" i="5" l="1"/>
  <c r="Q8" i="5"/>
  <c r="AD32" i="5"/>
  <c r="V32" i="5"/>
  <c r="AB31" i="5"/>
  <c r="T31" i="5"/>
  <c r="AD8" i="5"/>
  <c r="V8" i="5"/>
  <c r="X32" i="5"/>
  <c r="AC32" i="5"/>
  <c r="U32" i="5"/>
  <c r="AA31" i="5"/>
  <c r="S31" i="5"/>
  <c r="AC8" i="5"/>
  <c r="Q32" i="5"/>
  <c r="V31" i="5"/>
  <c r="O32" i="5"/>
  <c r="P32" i="5" s="1"/>
  <c r="AB32" i="5"/>
  <c r="T32" i="5"/>
  <c r="Z31" i="5"/>
  <c r="R31" i="5"/>
  <c r="AB8" i="5"/>
  <c r="W31" i="5"/>
  <c r="AA32" i="5"/>
  <c r="S32" i="5"/>
  <c r="Y31" i="5"/>
  <c r="Q31" i="5"/>
  <c r="AA8" i="5"/>
  <c r="S8" i="5"/>
  <c r="AD31" i="5"/>
  <c r="X8" i="5"/>
  <c r="Z32" i="5"/>
  <c r="R32" i="5"/>
  <c r="X31" i="5"/>
  <c r="Z8" i="5"/>
  <c r="R8" i="5"/>
  <c r="Y32" i="5"/>
  <c r="O8" i="5"/>
  <c r="W32" i="5"/>
  <c r="AC31" i="5"/>
  <c r="U31" i="5"/>
  <c r="W8" i="5"/>
  <c r="O31" i="5"/>
  <c r="P31" i="5" s="1"/>
  <c r="U8" i="5"/>
  <c r="AD12" i="5"/>
  <c r="T12" i="5"/>
  <c r="R21" i="5"/>
  <c r="U21" i="5"/>
  <c r="AA27" i="5"/>
  <c r="X27" i="5"/>
  <c r="W9" i="5"/>
  <c r="O9" i="5"/>
  <c r="P9" i="5" s="1"/>
  <c r="AD29" i="5"/>
  <c r="R29" i="5"/>
  <c r="O28" i="5"/>
  <c r="P28" i="5" s="1"/>
  <c r="X28" i="5"/>
  <c r="V13" i="5"/>
  <c r="Q13" i="5"/>
  <c r="T20" i="5"/>
  <c r="AB19" i="5"/>
  <c r="Y19" i="5"/>
  <c r="T11" i="5"/>
  <c r="Q11" i="5"/>
  <c r="AC26" i="5"/>
  <c r="O26" i="5"/>
  <c r="P26" i="5" s="1"/>
  <c r="AB18" i="5"/>
  <c r="O18" i="5"/>
  <c r="P18" i="5" s="1"/>
  <c r="U10" i="5"/>
  <c r="O10" i="5"/>
  <c r="P10" i="5" s="1"/>
  <c r="V25" i="5"/>
  <c r="Y25" i="5"/>
  <c r="AC17" i="5"/>
  <c r="S17" i="5"/>
  <c r="T24" i="5"/>
  <c r="AD16" i="5"/>
  <c r="S16" i="5"/>
  <c r="T23" i="5"/>
  <c r="AD23" i="5"/>
  <c r="AD15" i="5"/>
  <c r="X15" i="5"/>
  <c r="Y30" i="5"/>
  <c r="T30" i="5"/>
  <c r="Q22" i="5"/>
  <c r="AA22" i="5"/>
  <c r="AB14" i="5"/>
  <c r="V12" i="5"/>
  <c r="AA12" i="5"/>
  <c r="W21" i="5"/>
  <c r="AB21" i="5"/>
  <c r="S27" i="5"/>
  <c r="AD27" i="5"/>
  <c r="AD9" i="5"/>
  <c r="Z9" i="5"/>
  <c r="V29" i="5"/>
  <c r="Y29" i="5"/>
  <c r="AB28" i="5"/>
  <c r="W28" i="5"/>
  <c r="AC13" i="5"/>
  <c r="AD20" i="5"/>
  <c r="AA20" i="5"/>
  <c r="T19" i="5"/>
  <c r="Q19" i="5"/>
  <c r="AD11" i="5"/>
  <c r="X11" i="5"/>
  <c r="Y26" i="5"/>
  <c r="AB26" i="5"/>
  <c r="Y18" i="5"/>
  <c r="T18" i="5"/>
  <c r="T10" i="5"/>
  <c r="AA10" i="5"/>
  <c r="AC25" i="5"/>
  <c r="Q25" i="5"/>
  <c r="U17" i="5"/>
  <c r="AD24" i="5"/>
  <c r="AA24" i="5"/>
  <c r="V16" i="5"/>
  <c r="Y16" i="5"/>
  <c r="W23" i="5"/>
  <c r="X23" i="5"/>
  <c r="AA15" i="5"/>
  <c r="W15" i="5"/>
  <c r="Q30" i="5"/>
  <c r="AA30" i="5"/>
  <c r="X22" i="5"/>
  <c r="S22" i="5"/>
  <c r="X14" i="5"/>
  <c r="Y12" i="5"/>
  <c r="S12" i="5"/>
  <c r="O21" i="5"/>
  <c r="P21" i="5" s="1"/>
  <c r="T21" i="5"/>
  <c r="O27" i="5"/>
  <c r="P27" i="5" s="1"/>
  <c r="V27" i="5"/>
  <c r="V9" i="5"/>
  <c r="Y9" i="5"/>
  <c r="AC29" i="5"/>
  <c r="Q29" i="5"/>
  <c r="T28" i="5"/>
  <c r="X13" i="5"/>
  <c r="U13" i="5"/>
  <c r="V20" i="5"/>
  <c r="S20" i="5"/>
  <c r="AA19" i="5"/>
  <c r="W19" i="5"/>
  <c r="AA11" i="5"/>
  <c r="V11" i="5"/>
  <c r="Q26" i="5"/>
  <c r="T26" i="5"/>
  <c r="Q18" i="5"/>
  <c r="AA18" i="5"/>
  <c r="X10" i="5"/>
  <c r="S10" i="5"/>
  <c r="U25" i="5"/>
  <c r="X17" i="5"/>
  <c r="Z17" i="5"/>
  <c r="V24" i="5"/>
  <c r="S24" i="5"/>
  <c r="AC16" i="5"/>
  <c r="Z16" i="5"/>
  <c r="AA23" i="5"/>
  <c r="V23" i="5"/>
  <c r="S15" i="5"/>
  <c r="AC15" i="5"/>
  <c r="X30" i="5"/>
  <c r="S30" i="5"/>
  <c r="W22" i="5"/>
  <c r="O22" i="5"/>
  <c r="P22" i="5" s="1"/>
  <c r="W14" i="5"/>
  <c r="V14" i="5"/>
  <c r="AC12" i="5"/>
  <c r="Z12" i="5"/>
  <c r="AA21" i="5"/>
  <c r="S21" i="5"/>
  <c r="Z27" i="5"/>
  <c r="AC27" i="5"/>
  <c r="AC9" i="5"/>
  <c r="Q9" i="5"/>
  <c r="U29" i="5"/>
  <c r="AD28" i="5"/>
  <c r="AA28" i="5"/>
  <c r="Z13" i="5"/>
  <c r="AA13" i="5"/>
  <c r="Y20" i="5"/>
  <c r="Z20" i="5"/>
  <c r="S19" i="5"/>
  <c r="AD19" i="5"/>
  <c r="S11" i="5"/>
  <c r="AC11" i="5"/>
  <c r="X26" i="5"/>
  <c r="AA26" i="5"/>
  <c r="AC18" i="5"/>
  <c r="S18" i="5"/>
  <c r="W10" i="5"/>
  <c r="X25" i="5"/>
  <c r="O25" i="5"/>
  <c r="P25" i="5" s="1"/>
  <c r="W17" i="5"/>
  <c r="AB17" i="5"/>
  <c r="O24" i="5"/>
  <c r="P24" i="5" s="1"/>
  <c r="Y24" i="5"/>
  <c r="U16" i="5"/>
  <c r="R16" i="5"/>
  <c r="S23" i="5"/>
  <c r="AC23" i="5"/>
  <c r="Z15" i="5"/>
  <c r="U15" i="5"/>
  <c r="W30" i="5"/>
  <c r="O30" i="5"/>
  <c r="P30" i="5" s="1"/>
  <c r="U22" i="5"/>
  <c r="Z14" i="5"/>
  <c r="AD14" i="5"/>
  <c r="U14" i="5"/>
  <c r="U12" i="5"/>
  <c r="R12" i="5"/>
  <c r="Z21" i="5"/>
  <c r="Y21" i="5"/>
  <c r="R27" i="5"/>
  <c r="U27" i="5"/>
  <c r="U9" i="5"/>
  <c r="X29" i="5"/>
  <c r="AA29" i="5"/>
  <c r="V28" i="5"/>
  <c r="S28" i="5"/>
  <c r="W13" i="5"/>
  <c r="R13" i="5"/>
  <c r="AC20" i="5"/>
  <c r="R20" i="5"/>
  <c r="O19" i="5"/>
  <c r="P19" i="5" s="1"/>
  <c r="X19" i="5"/>
  <c r="O11" i="5"/>
  <c r="P11" i="5" s="1"/>
  <c r="U11" i="5"/>
  <c r="W26" i="5"/>
  <c r="S26" i="5"/>
  <c r="X18" i="5"/>
  <c r="Z10" i="5"/>
  <c r="AC10" i="5"/>
  <c r="S25" i="5"/>
  <c r="AB25" i="5"/>
  <c r="O17" i="5"/>
  <c r="P17" i="5" s="1"/>
  <c r="T17" i="5"/>
  <c r="AC24" i="5"/>
  <c r="Z24" i="5"/>
  <c r="Q16" i="5"/>
  <c r="X16" i="5"/>
  <c r="Z23" i="5"/>
  <c r="U23" i="5"/>
  <c r="R15" i="5"/>
  <c r="O15" i="5"/>
  <c r="P15" i="5" s="1"/>
  <c r="AC30" i="5"/>
  <c r="Z22" i="5"/>
  <c r="T22" i="5"/>
  <c r="R14" i="5"/>
  <c r="S14" i="5"/>
  <c r="O12" i="5"/>
  <c r="P12" i="5" s="1"/>
  <c r="Q12" i="5"/>
  <c r="AD21" i="5"/>
  <c r="Q21" i="5"/>
  <c r="Y27" i="5"/>
  <c r="X9" i="5"/>
  <c r="AB9" i="5"/>
  <c r="S29" i="5"/>
  <c r="AB29" i="5"/>
  <c r="Q28" i="5"/>
  <c r="Y28" i="5"/>
  <c r="O13" i="5"/>
  <c r="P13" i="5" s="1"/>
  <c r="AB13" i="5"/>
  <c r="U20" i="5"/>
  <c r="X20" i="5"/>
  <c r="V19" i="5"/>
  <c r="AC19" i="5"/>
  <c r="Z11" i="5"/>
  <c r="W11" i="5"/>
  <c r="U26" i="5"/>
  <c r="Z18" i="5"/>
  <c r="W18" i="5"/>
  <c r="R10" i="5"/>
  <c r="AB10" i="5"/>
  <c r="R25" i="5"/>
  <c r="T25" i="5"/>
  <c r="R17" i="5"/>
  <c r="AA17" i="5"/>
  <c r="U24" i="5"/>
  <c r="R24" i="5"/>
  <c r="AB16" i="5"/>
  <c r="O16" i="5"/>
  <c r="P16" i="5" s="1"/>
  <c r="R23" i="5"/>
  <c r="O23" i="5"/>
  <c r="P23" i="5" s="1"/>
  <c r="Y15" i="5"/>
  <c r="Z30" i="5"/>
  <c r="AD30" i="5"/>
  <c r="R22" i="5"/>
  <c r="AD22" i="5"/>
  <c r="AC14" i="5"/>
  <c r="T14" i="5"/>
  <c r="O14" i="5"/>
  <c r="P14" i="5" s="1"/>
  <c r="X12" i="5"/>
  <c r="W12" i="5"/>
  <c r="V21" i="5"/>
  <c r="AB27" i="5"/>
  <c r="Q27" i="5"/>
  <c r="AA9" i="5"/>
  <c r="T9" i="5"/>
  <c r="W29" i="5"/>
  <c r="T29" i="5"/>
  <c r="AC28" i="5"/>
  <c r="Z28" i="5"/>
  <c r="S13" i="5"/>
  <c r="T13" i="5"/>
  <c r="O20" i="5"/>
  <c r="P20" i="5" s="1"/>
  <c r="W20" i="5"/>
  <c r="Z19" i="5"/>
  <c r="U19" i="5"/>
  <c r="R11" i="5"/>
  <c r="Z26" i="5"/>
  <c r="AD26" i="5"/>
  <c r="R18" i="5"/>
  <c r="AD18" i="5"/>
  <c r="Y10" i="5"/>
  <c r="AD10" i="5"/>
  <c r="W25" i="5"/>
  <c r="AA25" i="5"/>
  <c r="AD17" i="5"/>
  <c r="Y17" i="5"/>
  <c r="Q24" i="5"/>
  <c r="X24" i="5"/>
  <c r="T16" i="5"/>
  <c r="W16" i="5"/>
  <c r="Y23" i="5"/>
  <c r="AB15" i="5"/>
  <c r="Q15" i="5"/>
  <c r="R30" i="5"/>
  <c r="V30" i="5"/>
  <c r="AB22" i="5"/>
  <c r="V22" i="5"/>
  <c r="Y14" i="5"/>
  <c r="AA14" i="5"/>
  <c r="AB12" i="5"/>
  <c r="X21" i="5"/>
  <c r="AC21" i="5"/>
  <c r="T27" i="5"/>
  <c r="W27" i="5"/>
  <c r="R9" i="5"/>
  <c r="S9" i="5"/>
  <c r="O29" i="5"/>
  <c r="P29" i="5" s="1"/>
  <c r="Z29" i="5"/>
  <c r="U28" i="5"/>
  <c r="R28" i="5"/>
  <c r="AD13" i="5"/>
  <c r="Y13" i="5"/>
  <c r="AB20" i="5"/>
  <c r="Q20" i="5"/>
  <c r="R19" i="5"/>
  <c r="AB11" i="5"/>
  <c r="Y11" i="5"/>
  <c r="R26" i="5"/>
  <c r="V26" i="5"/>
  <c r="U18" i="5"/>
  <c r="V18" i="5"/>
  <c r="Q10" i="5"/>
  <c r="V10" i="5"/>
  <c r="AD25" i="5"/>
  <c r="Z25" i="5"/>
  <c r="V17" i="5"/>
  <c r="Q17" i="5"/>
  <c r="AB24" i="5"/>
  <c r="W24" i="5"/>
  <c r="AA16" i="5"/>
  <c r="AB23" i="5"/>
  <c r="Q23" i="5"/>
  <c r="T15" i="5"/>
  <c r="V15" i="5"/>
  <c r="U30" i="5"/>
  <c r="AB30" i="5"/>
  <c r="Y22" i="5"/>
  <c r="AC22" i="5"/>
  <c r="Q14" i="5"/>
  <c r="AC19" i="6"/>
  <c r="AX19" i="4" s="1"/>
  <c r="AC23" i="6"/>
  <c r="AX39" i="4" s="1"/>
  <c r="AC25" i="6"/>
  <c r="AX49" i="4" s="1"/>
  <c r="AC20" i="6"/>
  <c r="AX24" i="4" s="1"/>
  <c r="AC22" i="6"/>
  <c r="AX34" i="4" s="1"/>
  <c r="AC28" i="6"/>
  <c r="AX64" i="4" s="1"/>
  <c r="AC26" i="6"/>
  <c r="AX54" i="4" s="1"/>
  <c r="AC29" i="6"/>
  <c r="AX69" i="4" s="1"/>
  <c r="AC21" i="6"/>
  <c r="AX29" i="4" s="1"/>
  <c r="AC24" i="6"/>
  <c r="AX44" i="4" s="1"/>
  <c r="AC27" i="6"/>
  <c r="AX59" i="4" s="1"/>
  <c r="AC30" i="6"/>
  <c r="AX74" i="4" s="1"/>
  <c r="AM11" i="6"/>
  <c r="AL4" i="6"/>
  <c r="AM13" i="6"/>
  <c r="AM15" i="6"/>
  <c r="AL14" i="6"/>
  <c r="AL6" i="6"/>
  <c r="T31" i="6"/>
  <c r="U33" i="6"/>
  <c r="E15" i="6"/>
  <c r="D13" i="6"/>
  <c r="T13" i="6"/>
  <c r="U15" i="6"/>
  <c r="E24" i="6"/>
  <c r="D22" i="6"/>
  <c r="M15" i="6"/>
  <c r="L13" i="6"/>
  <c r="AM14" i="6"/>
  <c r="M33" i="6"/>
  <c r="L31" i="6"/>
  <c r="T4" i="6"/>
  <c r="U6" i="6"/>
  <c r="L22" i="6"/>
  <c r="M24" i="6"/>
  <c r="D31" i="6"/>
  <c r="E33" i="6"/>
  <c r="E6" i="6"/>
  <c r="D4" i="6"/>
  <c r="L4" i="6"/>
  <c r="M6" i="6"/>
  <c r="U24" i="6"/>
  <c r="T22" i="6"/>
  <c r="Y13" i="4" l="1"/>
  <c r="AL16" i="6"/>
  <c r="AL20" i="6"/>
  <c r="AM16" i="6"/>
  <c r="AL19" i="6"/>
  <c r="N24" i="6"/>
  <c r="M22" i="6"/>
  <c r="F15" i="6"/>
  <c r="E13" i="6"/>
  <c r="V6" i="6"/>
  <c r="U4" i="6"/>
  <c r="F33" i="6"/>
  <c r="E31" i="6"/>
  <c r="M31" i="6"/>
  <c r="N33" i="6"/>
  <c r="U22" i="6"/>
  <c r="V24" i="6"/>
  <c r="V33" i="6"/>
  <c r="U31" i="6"/>
  <c r="N6" i="6"/>
  <c r="M4" i="6"/>
  <c r="M13" i="6"/>
  <c r="N15" i="6"/>
  <c r="F24" i="6"/>
  <c r="E22" i="6"/>
  <c r="E4" i="6"/>
  <c r="F6" i="6"/>
  <c r="V15" i="6"/>
  <c r="U13" i="6"/>
  <c r="AL22" i="6" l="1"/>
  <c r="AL21" i="6"/>
  <c r="W24" i="6"/>
  <c r="V22" i="6"/>
  <c r="G6" i="6"/>
  <c r="F4" i="6"/>
  <c r="V31" i="6"/>
  <c r="W33" i="6"/>
  <c r="O24" i="6"/>
  <c r="N22" i="6"/>
  <c r="W6" i="6"/>
  <c r="V4" i="6"/>
  <c r="F22" i="6"/>
  <c r="G24" i="6"/>
  <c r="F13" i="6"/>
  <c r="G15" i="6"/>
  <c r="O15" i="6"/>
  <c r="N13" i="6"/>
  <c r="O33" i="6"/>
  <c r="N31" i="6"/>
  <c r="W15" i="6"/>
  <c r="V13" i="6"/>
  <c r="N4" i="6"/>
  <c r="O6" i="6"/>
  <c r="G33" i="6"/>
  <c r="F31" i="6"/>
  <c r="H33" i="6" l="1"/>
  <c r="G31" i="6"/>
  <c r="O13" i="6"/>
  <c r="P15" i="6"/>
  <c r="O22" i="6"/>
  <c r="P24" i="6"/>
  <c r="O4" i="6"/>
  <c r="P6" i="6"/>
  <c r="H15" i="6"/>
  <c r="G13" i="6"/>
  <c r="X33" i="6"/>
  <c r="W31" i="6"/>
  <c r="H6" i="6"/>
  <c r="G4" i="6"/>
  <c r="H24" i="6"/>
  <c r="G22" i="6"/>
  <c r="X15" i="6"/>
  <c r="W13" i="6"/>
  <c r="P33" i="6"/>
  <c r="O31" i="6"/>
  <c r="W4" i="6"/>
  <c r="X6" i="6"/>
  <c r="X24" i="6"/>
  <c r="W22" i="6"/>
  <c r="J16" i="6" l="1"/>
  <c r="K16" i="6" s="1"/>
  <c r="L16" i="6" s="1"/>
  <c r="M16" i="6" s="1"/>
  <c r="N16" i="6" s="1"/>
  <c r="O16" i="6" s="1"/>
  <c r="P16" i="6" s="1"/>
  <c r="J17" i="6" s="1"/>
  <c r="K17" i="6" s="1"/>
  <c r="L17" i="6" s="1"/>
  <c r="M17" i="6" s="1"/>
  <c r="N17" i="6" s="1"/>
  <c r="O17" i="6" s="1"/>
  <c r="P17" i="6" s="1"/>
  <c r="J18" i="6" s="1"/>
  <c r="K18" i="6" s="1"/>
  <c r="L18" i="6" s="1"/>
  <c r="M18" i="6" s="1"/>
  <c r="N18" i="6" s="1"/>
  <c r="O18" i="6" s="1"/>
  <c r="P18" i="6" s="1"/>
  <c r="J19" i="6" s="1"/>
  <c r="K19" i="6" s="1"/>
  <c r="L19" i="6" s="1"/>
  <c r="M19" i="6" s="1"/>
  <c r="N19" i="6" s="1"/>
  <c r="O19" i="6" s="1"/>
  <c r="P19" i="6" s="1"/>
  <c r="P13" i="6"/>
  <c r="R7" i="6"/>
  <c r="S7" i="6" s="1"/>
  <c r="T7" i="6" s="1"/>
  <c r="U7" i="6" s="1"/>
  <c r="V7" i="6" s="1"/>
  <c r="W7" i="6" s="1"/>
  <c r="X7" i="6" s="1"/>
  <c r="R8" i="6" s="1"/>
  <c r="S8" i="6" s="1"/>
  <c r="T8" i="6" s="1"/>
  <c r="U8" i="6" s="1"/>
  <c r="V8" i="6" s="1"/>
  <c r="W8" i="6" s="1"/>
  <c r="X8" i="6" s="1"/>
  <c r="R9" i="6" s="1"/>
  <c r="S9" i="6" s="1"/>
  <c r="T9" i="6" s="1"/>
  <c r="U9" i="6" s="1"/>
  <c r="V9" i="6" s="1"/>
  <c r="W9" i="6" s="1"/>
  <c r="X9" i="6" s="1"/>
  <c r="R10" i="6" s="1"/>
  <c r="S10" i="6" s="1"/>
  <c r="T10" i="6" s="1"/>
  <c r="U10" i="6" s="1"/>
  <c r="V10" i="6" s="1"/>
  <c r="W10" i="6" s="1"/>
  <c r="X10" i="6" s="1"/>
  <c r="X4" i="6"/>
  <c r="J25" i="6"/>
  <c r="K25" i="6" s="1"/>
  <c r="L25" i="6" s="1"/>
  <c r="M25" i="6" s="1"/>
  <c r="N25" i="6" s="1"/>
  <c r="O25" i="6" s="1"/>
  <c r="P25" i="6" s="1"/>
  <c r="J26" i="6" s="1"/>
  <c r="K26" i="6" s="1"/>
  <c r="L26" i="6" s="1"/>
  <c r="M26" i="6" s="1"/>
  <c r="N26" i="6" s="1"/>
  <c r="O26" i="6" s="1"/>
  <c r="P26" i="6" s="1"/>
  <c r="J27" i="6" s="1"/>
  <c r="K27" i="6" s="1"/>
  <c r="L27" i="6" s="1"/>
  <c r="M27" i="6" s="1"/>
  <c r="N27" i="6" s="1"/>
  <c r="O27" i="6" s="1"/>
  <c r="P27" i="6" s="1"/>
  <c r="J28" i="6" s="1"/>
  <c r="K28" i="6" s="1"/>
  <c r="L28" i="6" s="1"/>
  <c r="M28" i="6" s="1"/>
  <c r="N28" i="6" s="1"/>
  <c r="O28" i="6" s="1"/>
  <c r="P28" i="6" s="1"/>
  <c r="P22" i="6"/>
  <c r="B7" i="6"/>
  <c r="C7" i="6" s="1"/>
  <c r="D7" i="6" s="1"/>
  <c r="E7" i="6" s="1"/>
  <c r="F7" i="6" s="1"/>
  <c r="G7" i="6" s="1"/>
  <c r="H7" i="6" s="1"/>
  <c r="B8" i="6" s="1"/>
  <c r="C8" i="6" s="1"/>
  <c r="D8" i="6" s="1"/>
  <c r="E8" i="6" s="1"/>
  <c r="F8" i="6" s="1"/>
  <c r="G8" i="6" s="1"/>
  <c r="H8" i="6" s="1"/>
  <c r="B9" i="6" s="1"/>
  <c r="C9" i="6" s="1"/>
  <c r="D9" i="6" s="1"/>
  <c r="E9" i="6" s="1"/>
  <c r="F9" i="6" s="1"/>
  <c r="G9" i="6" s="1"/>
  <c r="H9" i="6" s="1"/>
  <c r="B10" i="6" s="1"/>
  <c r="C10" i="6" s="1"/>
  <c r="D10" i="6" s="1"/>
  <c r="E10" i="6" s="1"/>
  <c r="F10" i="6" s="1"/>
  <c r="G10" i="6" s="1"/>
  <c r="H10" i="6" s="1"/>
  <c r="H4" i="6"/>
  <c r="J7" i="6"/>
  <c r="K7" i="6" s="1"/>
  <c r="L7" i="6" s="1"/>
  <c r="M7" i="6" s="1"/>
  <c r="N7" i="6" s="1"/>
  <c r="O7" i="6" s="1"/>
  <c r="P7" i="6" s="1"/>
  <c r="J8" i="6" s="1"/>
  <c r="K8" i="6" s="1"/>
  <c r="L8" i="6" s="1"/>
  <c r="M8" i="6" s="1"/>
  <c r="N8" i="6" s="1"/>
  <c r="O8" i="6" s="1"/>
  <c r="P8" i="6" s="1"/>
  <c r="J9" i="6" s="1"/>
  <c r="K9" i="6" s="1"/>
  <c r="L9" i="6" s="1"/>
  <c r="M9" i="6" s="1"/>
  <c r="N9" i="6" s="1"/>
  <c r="O9" i="6" s="1"/>
  <c r="P9" i="6" s="1"/>
  <c r="J10" i="6" s="1"/>
  <c r="K10" i="6" s="1"/>
  <c r="L10" i="6" s="1"/>
  <c r="M10" i="6" s="1"/>
  <c r="N10" i="6" s="1"/>
  <c r="O10" i="6" s="1"/>
  <c r="P10" i="6" s="1"/>
  <c r="P4" i="6"/>
  <c r="R25" i="6"/>
  <c r="S25" i="6" s="1"/>
  <c r="T25" i="6" s="1"/>
  <c r="U25" i="6" s="1"/>
  <c r="V25" i="6" s="1"/>
  <c r="W25" i="6" s="1"/>
  <c r="X25" i="6" s="1"/>
  <c r="R26" i="6" s="1"/>
  <c r="S26" i="6" s="1"/>
  <c r="T26" i="6" s="1"/>
  <c r="U26" i="6" s="1"/>
  <c r="V26" i="6" s="1"/>
  <c r="W26" i="6" s="1"/>
  <c r="X26" i="6" s="1"/>
  <c r="R27" i="6" s="1"/>
  <c r="S27" i="6" s="1"/>
  <c r="T27" i="6" s="1"/>
  <c r="U27" i="6" s="1"/>
  <c r="V27" i="6" s="1"/>
  <c r="W27" i="6" s="1"/>
  <c r="X27" i="6" s="1"/>
  <c r="R28" i="6" s="1"/>
  <c r="S28" i="6" s="1"/>
  <c r="T28" i="6" s="1"/>
  <c r="U28" i="6" s="1"/>
  <c r="V28" i="6" s="1"/>
  <c r="W28" i="6" s="1"/>
  <c r="X28" i="6" s="1"/>
  <c r="X22" i="6"/>
  <c r="H22" i="6"/>
  <c r="B25" i="6"/>
  <c r="C25" i="6" s="1"/>
  <c r="D25" i="6" s="1"/>
  <c r="E25" i="6" s="1"/>
  <c r="F25" i="6" s="1"/>
  <c r="G25" i="6" s="1"/>
  <c r="H25" i="6" s="1"/>
  <c r="B26" i="6" s="1"/>
  <c r="C26" i="6" s="1"/>
  <c r="D26" i="6" s="1"/>
  <c r="E26" i="6" s="1"/>
  <c r="F26" i="6" s="1"/>
  <c r="G26" i="6" s="1"/>
  <c r="H26" i="6" s="1"/>
  <c r="B27" i="6" s="1"/>
  <c r="C27" i="6" s="1"/>
  <c r="D27" i="6" s="1"/>
  <c r="E27" i="6" s="1"/>
  <c r="F27" i="6" s="1"/>
  <c r="G27" i="6" s="1"/>
  <c r="H27" i="6" s="1"/>
  <c r="B28" i="6" s="1"/>
  <c r="C28" i="6" s="1"/>
  <c r="D28" i="6" s="1"/>
  <c r="E28" i="6" s="1"/>
  <c r="F28" i="6" s="1"/>
  <c r="G28" i="6" s="1"/>
  <c r="H28" i="6" s="1"/>
  <c r="P31" i="6"/>
  <c r="J34" i="6"/>
  <c r="K34" i="6" s="1"/>
  <c r="L34" i="6" s="1"/>
  <c r="M34" i="6" s="1"/>
  <c r="N34" i="6" s="1"/>
  <c r="O34" i="6" s="1"/>
  <c r="P34" i="6" s="1"/>
  <c r="J35" i="6" s="1"/>
  <c r="K35" i="6" s="1"/>
  <c r="L35" i="6" s="1"/>
  <c r="M35" i="6" s="1"/>
  <c r="N35" i="6" s="1"/>
  <c r="O35" i="6" s="1"/>
  <c r="P35" i="6" s="1"/>
  <c r="J36" i="6" s="1"/>
  <c r="K36" i="6" s="1"/>
  <c r="L36" i="6" s="1"/>
  <c r="M36" i="6" s="1"/>
  <c r="N36" i="6" s="1"/>
  <c r="O36" i="6" s="1"/>
  <c r="P36" i="6" s="1"/>
  <c r="J37" i="6" s="1"/>
  <c r="K37" i="6" s="1"/>
  <c r="L37" i="6" s="1"/>
  <c r="M37" i="6" s="1"/>
  <c r="N37" i="6" s="1"/>
  <c r="O37" i="6" s="1"/>
  <c r="P37" i="6" s="1"/>
  <c r="R34" i="6"/>
  <c r="S34" i="6" s="1"/>
  <c r="T34" i="6" s="1"/>
  <c r="U34" i="6" s="1"/>
  <c r="V34" i="6" s="1"/>
  <c r="W34" i="6" s="1"/>
  <c r="X34" i="6" s="1"/>
  <c r="R35" i="6" s="1"/>
  <c r="S35" i="6" s="1"/>
  <c r="T35" i="6" s="1"/>
  <c r="U35" i="6" s="1"/>
  <c r="V35" i="6" s="1"/>
  <c r="W35" i="6" s="1"/>
  <c r="X35" i="6" s="1"/>
  <c r="R36" i="6" s="1"/>
  <c r="S36" i="6" s="1"/>
  <c r="T36" i="6" s="1"/>
  <c r="U36" i="6" s="1"/>
  <c r="V36" i="6" s="1"/>
  <c r="W36" i="6" s="1"/>
  <c r="X36" i="6" s="1"/>
  <c r="R37" i="6" s="1"/>
  <c r="S37" i="6" s="1"/>
  <c r="T37" i="6" s="1"/>
  <c r="U37" i="6" s="1"/>
  <c r="V37" i="6" s="1"/>
  <c r="W37" i="6" s="1"/>
  <c r="X37" i="6" s="1"/>
  <c r="X31" i="6"/>
  <c r="R16" i="6"/>
  <c r="S16" i="6" s="1"/>
  <c r="T16" i="6" s="1"/>
  <c r="U16" i="6" s="1"/>
  <c r="V16" i="6" s="1"/>
  <c r="W16" i="6" s="1"/>
  <c r="X16" i="6" s="1"/>
  <c r="R17" i="6" s="1"/>
  <c r="S17" i="6" s="1"/>
  <c r="T17" i="6" s="1"/>
  <c r="U17" i="6" s="1"/>
  <c r="V17" i="6" s="1"/>
  <c r="W17" i="6" s="1"/>
  <c r="X17" i="6" s="1"/>
  <c r="R18" i="6" s="1"/>
  <c r="S18" i="6" s="1"/>
  <c r="T18" i="6" s="1"/>
  <c r="U18" i="6" s="1"/>
  <c r="V18" i="6" s="1"/>
  <c r="W18" i="6" s="1"/>
  <c r="X18" i="6" s="1"/>
  <c r="R19" i="6" s="1"/>
  <c r="S19" i="6" s="1"/>
  <c r="T19" i="6" s="1"/>
  <c r="U19" i="6" s="1"/>
  <c r="V19" i="6" s="1"/>
  <c r="W19" i="6" s="1"/>
  <c r="X19" i="6" s="1"/>
  <c r="X13" i="6"/>
  <c r="B16" i="6"/>
  <c r="C16" i="6" s="1"/>
  <c r="D16" i="6" s="1"/>
  <c r="E16" i="6" s="1"/>
  <c r="F16" i="6" s="1"/>
  <c r="G16" i="6" s="1"/>
  <c r="H16" i="6" s="1"/>
  <c r="B17" i="6" s="1"/>
  <c r="C17" i="6" s="1"/>
  <c r="D17" i="6" s="1"/>
  <c r="E17" i="6" s="1"/>
  <c r="F17" i="6" s="1"/>
  <c r="G17" i="6" s="1"/>
  <c r="H17" i="6" s="1"/>
  <c r="B18" i="6" s="1"/>
  <c r="C18" i="6" s="1"/>
  <c r="D18" i="6" s="1"/>
  <c r="E18" i="6" s="1"/>
  <c r="F18" i="6" s="1"/>
  <c r="G18" i="6" s="1"/>
  <c r="H18" i="6" s="1"/>
  <c r="B19" i="6" s="1"/>
  <c r="C19" i="6" s="1"/>
  <c r="D19" i="6" s="1"/>
  <c r="E19" i="6" s="1"/>
  <c r="F19" i="6" s="1"/>
  <c r="G19" i="6" s="1"/>
  <c r="H19" i="6" s="1"/>
  <c r="H13" i="6"/>
  <c r="B34" i="6"/>
  <c r="C34" i="6" s="1"/>
  <c r="D34" i="6" s="1"/>
  <c r="E34" i="6" s="1"/>
  <c r="F34" i="6" s="1"/>
  <c r="G34" i="6" s="1"/>
  <c r="H34" i="6" s="1"/>
  <c r="B35" i="6" s="1"/>
  <c r="C35" i="6" s="1"/>
  <c r="D35" i="6" s="1"/>
  <c r="E35" i="6" s="1"/>
  <c r="F35" i="6" s="1"/>
  <c r="G35" i="6" s="1"/>
  <c r="H35" i="6" s="1"/>
  <c r="B36" i="6" s="1"/>
  <c r="C36" i="6" s="1"/>
  <c r="D36" i="6" s="1"/>
  <c r="E36" i="6" s="1"/>
  <c r="F36" i="6" s="1"/>
  <c r="G36" i="6" s="1"/>
  <c r="H36" i="6" s="1"/>
  <c r="B37" i="6" s="1"/>
  <c r="C37" i="6" s="1"/>
  <c r="D37" i="6" s="1"/>
  <c r="E37" i="6" s="1"/>
  <c r="F37" i="6" s="1"/>
  <c r="G37" i="6" s="1"/>
  <c r="H37" i="6" s="1"/>
  <c r="H31" i="6"/>
  <c r="C70" i="4" l="1"/>
  <c r="C71" i="4" s="1"/>
  <c r="C65" i="4"/>
  <c r="C66" i="4" s="1"/>
  <c r="C60" i="4"/>
  <c r="D60" i="4" s="1"/>
  <c r="C55" i="4"/>
  <c r="C50" i="4"/>
  <c r="C45" i="4"/>
  <c r="C40" i="4"/>
  <c r="D40" i="4" s="1"/>
  <c r="C35" i="4"/>
  <c r="C30" i="4"/>
  <c r="D30" i="4" s="1"/>
  <c r="C25" i="4"/>
  <c r="C20" i="4"/>
  <c r="C21" i="4" s="1"/>
  <c r="C15" i="4"/>
  <c r="C16" i="4" s="1"/>
  <c r="C56" i="4" l="1"/>
  <c r="D55" i="4"/>
  <c r="C26" i="4"/>
  <c r="D25" i="4"/>
  <c r="C31" i="4"/>
  <c r="C36" i="4"/>
  <c r="D35" i="4"/>
  <c r="C51" i="4"/>
  <c r="D50" i="4"/>
  <c r="D42" i="4"/>
  <c r="D43" i="4"/>
  <c r="D44" i="4" s="1" a="1"/>
  <c r="D44" i="4" s="1"/>
  <c r="C46" i="4"/>
  <c r="D45" i="4"/>
  <c r="D70" i="4"/>
  <c r="E70" i="4" s="1"/>
  <c r="F70" i="4" s="1"/>
  <c r="G70" i="4" s="1"/>
  <c r="H70" i="4" s="1"/>
  <c r="I70" i="4" s="1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AC70" i="4" s="1"/>
  <c r="AD70" i="4" s="1"/>
  <c r="AE70" i="4" s="1"/>
  <c r="AF70" i="4" s="1"/>
  <c r="AG70" i="4" s="1"/>
  <c r="AH70" i="4" s="1"/>
  <c r="D65" i="4"/>
  <c r="E65" i="4" s="1"/>
  <c r="F65" i="4" s="1"/>
  <c r="G65" i="4" s="1"/>
  <c r="H65" i="4" s="1"/>
  <c r="I65" i="4" s="1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AH65" i="4" s="1"/>
  <c r="D63" i="4"/>
  <c r="D64" i="4" s="1" a="1"/>
  <c r="D64" i="4" s="1"/>
  <c r="D62" i="4"/>
  <c r="C61" i="4"/>
  <c r="E60" i="4" s="1"/>
  <c r="F60" i="4" s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AH60" i="4" s="1"/>
  <c r="C41" i="4"/>
  <c r="E40" i="4" s="1"/>
  <c r="D20" i="4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D15" i="4"/>
  <c r="E42" i="4" l="1"/>
  <c r="E43" i="4"/>
  <c r="E44" i="4" s="1" a="1"/>
  <c r="E44" i="4" s="1"/>
  <c r="F40" i="4"/>
  <c r="D58" i="4"/>
  <c r="D59" i="4" s="1" a="1"/>
  <c r="D59" i="4" s="1"/>
  <c r="E55" i="4"/>
  <c r="D57" i="4"/>
  <c r="E45" i="4"/>
  <c r="D47" i="4"/>
  <c r="D48" i="4"/>
  <c r="D49" i="4" s="1" a="1"/>
  <c r="D49" i="4" s="1"/>
  <c r="D52" i="4"/>
  <c r="D53" i="4"/>
  <c r="D54" i="4" s="1" a="1"/>
  <c r="D54" i="4" s="1"/>
  <c r="E50" i="4"/>
  <c r="D37" i="4"/>
  <c r="E35" i="4"/>
  <c r="D38" i="4"/>
  <c r="D39" i="4" s="1" a="1"/>
  <c r="D39" i="4" s="1"/>
  <c r="D27" i="4"/>
  <c r="D28" i="4"/>
  <c r="D29" i="4" s="1" a="1"/>
  <c r="D29" i="4" s="1"/>
  <c r="E25" i="4"/>
  <c r="E30" i="4"/>
  <c r="D33" i="4"/>
  <c r="D34" i="4" s="1" a="1"/>
  <c r="D34" i="4" s="1"/>
  <c r="D32" i="4"/>
  <c r="D72" i="4"/>
  <c r="D73" i="4"/>
  <c r="D74" i="4" s="1" a="1"/>
  <c r="D74" i="4" s="1"/>
  <c r="D68" i="4"/>
  <c r="D69" i="4" s="1" a="1"/>
  <c r="D69" i="4" s="1"/>
  <c r="D67" i="4"/>
  <c r="E62" i="4"/>
  <c r="E63" i="4"/>
  <c r="E64" i="4" s="1" a="1"/>
  <c r="E64" i="4" s="1"/>
  <c r="D22" i="4"/>
  <c r="D23" i="4"/>
  <c r="D24" i="4" s="1" a="1"/>
  <c r="D24" i="4" s="1"/>
  <c r="D17" i="4"/>
  <c r="D18" i="4"/>
  <c r="D19" i="4" s="1" a="1"/>
  <c r="D19" i="4" s="1"/>
  <c r="E15" i="4"/>
  <c r="E18" i="4" s="1"/>
  <c r="E19" i="4" s="1" a="1"/>
  <c r="E19" i="4" s="1"/>
  <c r="E47" i="4" l="1"/>
  <c r="E48" i="4"/>
  <c r="E49" i="4" s="1" a="1"/>
  <c r="E49" i="4" s="1"/>
  <c r="F45" i="4"/>
  <c r="E57" i="4"/>
  <c r="F55" i="4"/>
  <c r="E58" i="4"/>
  <c r="E59" i="4" s="1" a="1"/>
  <c r="E59" i="4" s="1"/>
  <c r="F50" i="4"/>
  <c r="E52" i="4"/>
  <c r="E53" i="4"/>
  <c r="E54" i="4" s="1" a="1"/>
  <c r="E54" i="4" s="1"/>
  <c r="F25" i="4"/>
  <c r="E28" i="4"/>
  <c r="E29" i="4" s="1" a="1"/>
  <c r="E29" i="4" s="1"/>
  <c r="E27" i="4"/>
  <c r="E38" i="4"/>
  <c r="E39" i="4" s="1" a="1"/>
  <c r="E39" i="4" s="1"/>
  <c r="F35" i="4"/>
  <c r="E37" i="4"/>
  <c r="E32" i="4"/>
  <c r="F30" i="4"/>
  <c r="E33" i="4"/>
  <c r="E34" i="4" s="1" a="1"/>
  <c r="E34" i="4" s="1"/>
  <c r="F43" i="4"/>
  <c r="F44" i="4" s="1" a="1"/>
  <c r="F44" i="4" s="1"/>
  <c r="F42" i="4"/>
  <c r="G40" i="4"/>
  <c r="E73" i="4"/>
  <c r="E74" i="4" s="1" a="1"/>
  <c r="E74" i="4" s="1"/>
  <c r="E72" i="4"/>
  <c r="E67" i="4"/>
  <c r="E68" i="4"/>
  <c r="E69" i="4" s="1" a="1"/>
  <c r="E69" i="4" s="1"/>
  <c r="F62" i="4"/>
  <c r="F63" i="4"/>
  <c r="F64" i="4" s="1" a="1"/>
  <c r="F64" i="4" s="1"/>
  <c r="E23" i="4"/>
  <c r="E24" i="4" s="1" a="1"/>
  <c r="E24" i="4" s="1"/>
  <c r="E22" i="4"/>
  <c r="F15" i="4"/>
  <c r="F18" i="4" s="1"/>
  <c r="F19" i="4" s="1" a="1"/>
  <c r="F19" i="4" s="1"/>
  <c r="E17" i="4"/>
  <c r="J1" i="40" l="1"/>
  <c r="G1" i="39"/>
  <c r="G50" i="4"/>
  <c r="F53" i="4"/>
  <c r="F54" i="4" s="1" a="1"/>
  <c r="F54" i="4" s="1"/>
  <c r="F52" i="4"/>
  <c r="F38" i="4"/>
  <c r="F39" i="4" s="1" a="1"/>
  <c r="F39" i="4" s="1"/>
  <c r="G35" i="4"/>
  <c r="F37" i="4"/>
  <c r="H40" i="4"/>
  <c r="G43" i="4"/>
  <c r="G44" i="4" s="1" a="1"/>
  <c r="G44" i="4" s="1"/>
  <c r="G42" i="4"/>
  <c r="G55" i="4"/>
  <c r="F58" i="4"/>
  <c r="F59" i="4" s="1" a="1"/>
  <c r="F59" i="4" s="1"/>
  <c r="F57" i="4"/>
  <c r="F47" i="4"/>
  <c r="G45" i="4"/>
  <c r="F48" i="4"/>
  <c r="F49" i="4" s="1" a="1"/>
  <c r="F49" i="4" s="1"/>
  <c r="G25" i="4"/>
  <c r="F28" i="4"/>
  <c r="F29" i="4" s="1" a="1"/>
  <c r="F29" i="4" s="1"/>
  <c r="F27" i="4"/>
  <c r="F32" i="4"/>
  <c r="F33" i="4"/>
  <c r="F34" i="4" s="1" a="1"/>
  <c r="F34" i="4" s="1"/>
  <c r="G30" i="4"/>
  <c r="F72" i="4"/>
  <c r="F73" i="4"/>
  <c r="F74" i="4" s="1" a="1"/>
  <c r="F74" i="4" s="1"/>
  <c r="F67" i="4"/>
  <c r="F68" i="4"/>
  <c r="F69" i="4" s="1" a="1"/>
  <c r="F69" i="4" s="1"/>
  <c r="G63" i="4"/>
  <c r="G64" i="4" s="1" a="1"/>
  <c r="G64" i="4" s="1"/>
  <c r="G62" i="4"/>
  <c r="F22" i="4"/>
  <c r="F23" i="4"/>
  <c r="F24" i="4" s="1" a="1"/>
  <c r="F24" i="4" s="1"/>
  <c r="G15" i="4"/>
  <c r="G18" i="4" s="1"/>
  <c r="G19" i="4" s="1" a="1"/>
  <c r="G19" i="4" s="1"/>
  <c r="F17" i="4"/>
  <c r="J1" i="41" l="1"/>
  <c r="G1" i="40"/>
  <c r="G48" i="4"/>
  <c r="G49" i="4" s="1" a="1"/>
  <c r="G49" i="4" s="1"/>
  <c r="H45" i="4"/>
  <c r="G47" i="4"/>
  <c r="H42" i="4"/>
  <c r="I40" i="4"/>
  <c r="H43" i="4"/>
  <c r="H44" i="4" s="1" a="1"/>
  <c r="H44" i="4" s="1"/>
  <c r="G33" i="4"/>
  <c r="G34" i="4" s="1" a="1"/>
  <c r="G34" i="4" s="1"/>
  <c r="H30" i="4"/>
  <c r="G32" i="4"/>
  <c r="G38" i="4"/>
  <c r="G39" i="4" s="1" a="1"/>
  <c r="G39" i="4" s="1"/>
  <c r="G37" i="4"/>
  <c r="H35" i="4"/>
  <c r="G28" i="4"/>
  <c r="G29" i="4" s="1" a="1"/>
  <c r="G29" i="4" s="1"/>
  <c r="G27" i="4"/>
  <c r="H25" i="4"/>
  <c r="H55" i="4"/>
  <c r="G57" i="4"/>
  <c r="G58" i="4"/>
  <c r="G59" i="4" s="1" a="1"/>
  <c r="G59" i="4" s="1"/>
  <c r="G52" i="4"/>
  <c r="H50" i="4"/>
  <c r="G53" i="4"/>
  <c r="G54" i="4" s="1" a="1"/>
  <c r="G54" i="4" s="1"/>
  <c r="G72" i="4"/>
  <c r="G73" i="4"/>
  <c r="G74" i="4" s="1" a="1"/>
  <c r="G74" i="4" s="1"/>
  <c r="G67" i="4"/>
  <c r="G68" i="4"/>
  <c r="G69" i="4" s="1" a="1"/>
  <c r="G69" i="4" s="1"/>
  <c r="H63" i="4"/>
  <c r="H64" i="4" s="1" a="1"/>
  <c r="H64" i="4" s="1"/>
  <c r="H62" i="4"/>
  <c r="G22" i="4"/>
  <c r="G23" i="4"/>
  <c r="G24" i="4" s="1" a="1"/>
  <c r="G24" i="4" s="1"/>
  <c r="H15" i="4"/>
  <c r="H18" i="4" s="1"/>
  <c r="H19" i="4" s="1" a="1"/>
  <c r="H19" i="4" s="1"/>
  <c r="G17" i="4"/>
  <c r="J1" i="42" l="1"/>
  <c r="G1" i="41"/>
  <c r="I55" i="4"/>
  <c r="H58" i="4"/>
  <c r="H59" i="4" s="1" a="1"/>
  <c r="H59" i="4" s="1"/>
  <c r="H57" i="4"/>
  <c r="H32" i="4"/>
  <c r="I30" i="4"/>
  <c r="H33" i="4"/>
  <c r="H34" i="4" s="1" a="1"/>
  <c r="H34" i="4" s="1"/>
  <c r="I25" i="4"/>
  <c r="H28" i="4"/>
  <c r="H29" i="4" s="1" a="1"/>
  <c r="H29" i="4" s="1"/>
  <c r="H27" i="4"/>
  <c r="H47" i="4"/>
  <c r="H48" i="4"/>
  <c r="H49" i="4" s="1" a="1"/>
  <c r="H49" i="4" s="1"/>
  <c r="I45" i="4"/>
  <c r="I50" i="4"/>
  <c r="H52" i="4"/>
  <c r="H53" i="4"/>
  <c r="H54" i="4" s="1" a="1"/>
  <c r="H54" i="4" s="1"/>
  <c r="H38" i="4"/>
  <c r="H39" i="4" s="1" a="1"/>
  <c r="H39" i="4" s="1"/>
  <c r="H37" i="4"/>
  <c r="I35" i="4"/>
  <c r="I43" i="4"/>
  <c r="I44" i="4" s="1" a="1"/>
  <c r="I44" i="4" s="1"/>
  <c r="J40" i="4"/>
  <c r="I42" i="4"/>
  <c r="H72" i="4"/>
  <c r="H73" i="4"/>
  <c r="H74" i="4" s="1" a="1"/>
  <c r="H74" i="4" s="1"/>
  <c r="H67" i="4"/>
  <c r="H68" i="4"/>
  <c r="H69" i="4" s="1" a="1"/>
  <c r="H69" i="4" s="1"/>
  <c r="I63" i="4"/>
  <c r="I64" i="4" s="1" a="1"/>
  <c r="I64" i="4" s="1"/>
  <c r="I62" i="4"/>
  <c r="H23" i="4"/>
  <c r="H24" i="4" s="1" a="1"/>
  <c r="H24" i="4" s="1"/>
  <c r="H22" i="4"/>
  <c r="I15" i="4"/>
  <c r="I18" i="4" s="1"/>
  <c r="I19" i="4" s="1" a="1"/>
  <c r="I19" i="4" s="1"/>
  <c r="H17" i="4"/>
  <c r="G1" i="42" l="1"/>
  <c r="J1" i="43"/>
  <c r="J25" i="4"/>
  <c r="I27" i="4"/>
  <c r="I28" i="4"/>
  <c r="I29" i="4" s="1" a="1"/>
  <c r="I29" i="4" s="1"/>
  <c r="I52" i="4"/>
  <c r="I53" i="4"/>
  <c r="I54" i="4" s="1" a="1"/>
  <c r="I54" i="4" s="1"/>
  <c r="J50" i="4"/>
  <c r="I32" i="4"/>
  <c r="I33" i="4"/>
  <c r="I34" i="4" s="1" a="1"/>
  <c r="I34" i="4" s="1"/>
  <c r="J30" i="4"/>
  <c r="K40" i="4"/>
  <c r="J43" i="4"/>
  <c r="J44" i="4" s="1" a="1"/>
  <c r="J44" i="4" s="1"/>
  <c r="J42" i="4"/>
  <c r="I48" i="4"/>
  <c r="I49" i="4" s="1" a="1"/>
  <c r="I49" i="4" s="1"/>
  <c r="I47" i="4"/>
  <c r="J45" i="4"/>
  <c r="J35" i="4"/>
  <c r="I37" i="4"/>
  <c r="I38" i="4"/>
  <c r="I39" i="4" s="1" a="1"/>
  <c r="I39" i="4" s="1"/>
  <c r="I57" i="4"/>
  <c r="J55" i="4"/>
  <c r="I58" i="4"/>
  <c r="I59" i="4" s="1" a="1"/>
  <c r="I59" i="4" s="1"/>
  <c r="I72" i="4"/>
  <c r="I73" i="4"/>
  <c r="I74" i="4" s="1" a="1"/>
  <c r="I74" i="4" s="1"/>
  <c r="I68" i="4"/>
  <c r="I69" i="4" s="1" a="1"/>
  <c r="I69" i="4" s="1"/>
  <c r="I67" i="4"/>
  <c r="J62" i="4"/>
  <c r="J63" i="4"/>
  <c r="J64" i="4" s="1" a="1"/>
  <c r="J64" i="4" s="1"/>
  <c r="I23" i="4"/>
  <c r="I24" i="4" s="1" a="1"/>
  <c r="I24" i="4" s="1"/>
  <c r="I22" i="4"/>
  <c r="J15" i="4"/>
  <c r="J18" i="4" s="1"/>
  <c r="J19" i="4" s="1" a="1"/>
  <c r="J19" i="4" s="1"/>
  <c r="I17" i="4"/>
  <c r="J1" i="44" l="1"/>
  <c r="G1" i="43"/>
  <c r="J53" i="4"/>
  <c r="J54" i="4" s="1" a="1"/>
  <c r="J54" i="4" s="1"/>
  <c r="K50" i="4"/>
  <c r="J52" i="4"/>
  <c r="J32" i="4"/>
  <c r="J33" i="4"/>
  <c r="J34" i="4" s="1" a="1"/>
  <c r="J34" i="4" s="1"/>
  <c r="K30" i="4"/>
  <c r="K35" i="4"/>
  <c r="J38" i="4"/>
  <c r="J39" i="4" s="1" a="1"/>
  <c r="J39" i="4" s="1"/>
  <c r="J37" i="4"/>
  <c r="J47" i="4"/>
  <c r="K45" i="4"/>
  <c r="J48" i="4"/>
  <c r="J49" i="4" s="1" a="1"/>
  <c r="J49" i="4" s="1"/>
  <c r="J58" i="4"/>
  <c r="J59" i="4" s="1" a="1"/>
  <c r="J59" i="4" s="1"/>
  <c r="J57" i="4"/>
  <c r="K55" i="4"/>
  <c r="K42" i="4"/>
  <c r="L40" i="4"/>
  <c r="K43" i="4"/>
  <c r="K44" i="4" s="1" a="1"/>
  <c r="K44" i="4" s="1"/>
  <c r="K25" i="4"/>
  <c r="J28" i="4"/>
  <c r="J29" i="4" s="1" a="1"/>
  <c r="J29" i="4" s="1"/>
  <c r="J27" i="4"/>
  <c r="J73" i="4"/>
  <c r="J74" i="4" s="1" a="1"/>
  <c r="J74" i="4" s="1"/>
  <c r="J72" i="4"/>
  <c r="J67" i="4"/>
  <c r="J68" i="4"/>
  <c r="J69" i="4" s="1" a="1"/>
  <c r="J69" i="4" s="1"/>
  <c r="K62" i="4"/>
  <c r="K63" i="4"/>
  <c r="K64" i="4" s="1" a="1"/>
  <c r="K64" i="4" s="1"/>
  <c r="J23" i="4"/>
  <c r="J24" i="4" s="1" a="1"/>
  <c r="J24" i="4" s="1"/>
  <c r="J22" i="4"/>
  <c r="K15" i="4"/>
  <c r="K18" i="4" s="1"/>
  <c r="K19" i="4" s="1" a="1"/>
  <c r="K19" i="4" s="1"/>
  <c r="J17" i="4"/>
  <c r="G1" i="44" l="1"/>
  <c r="J1" i="49"/>
  <c r="G1" i="49" s="1"/>
  <c r="J1" i="50"/>
  <c r="G1" i="50" s="1"/>
  <c r="J1" i="45"/>
  <c r="G1" i="45" s="1"/>
  <c r="J1" i="46"/>
  <c r="G1" i="46" s="1"/>
  <c r="J1" i="47"/>
  <c r="G1" i="47" s="1"/>
  <c r="J1" i="48"/>
  <c r="G1" i="48" s="1"/>
  <c r="K58" i="4"/>
  <c r="K59" i="4" s="1" a="1"/>
  <c r="K59" i="4" s="1"/>
  <c r="K57" i="4"/>
  <c r="L55" i="4"/>
  <c r="K38" i="4"/>
  <c r="K39" i="4" s="1" a="1"/>
  <c r="K39" i="4" s="1"/>
  <c r="L35" i="4"/>
  <c r="K37" i="4"/>
  <c r="K33" i="4"/>
  <c r="K34" i="4" s="1" a="1"/>
  <c r="K34" i="4" s="1"/>
  <c r="K32" i="4"/>
  <c r="L30" i="4"/>
  <c r="M40" i="4"/>
  <c r="L43" i="4"/>
  <c r="L44" i="4" s="1" a="1"/>
  <c r="L44" i="4" s="1"/>
  <c r="L42" i="4"/>
  <c r="K27" i="4"/>
  <c r="L25" i="4"/>
  <c r="K28" i="4"/>
  <c r="K29" i="4" s="1" a="1"/>
  <c r="K29" i="4" s="1"/>
  <c r="L45" i="4"/>
  <c r="K48" i="4"/>
  <c r="K49" i="4" s="1" a="1"/>
  <c r="K49" i="4" s="1"/>
  <c r="K47" i="4"/>
  <c r="L50" i="4"/>
  <c r="K53" i="4"/>
  <c r="K54" i="4" s="1" a="1"/>
  <c r="K54" i="4" s="1"/>
  <c r="K52" i="4"/>
  <c r="K72" i="4"/>
  <c r="K73" i="4"/>
  <c r="K74" i="4" s="1" a="1"/>
  <c r="K74" i="4" s="1"/>
  <c r="K67" i="4"/>
  <c r="K68" i="4"/>
  <c r="K69" i="4" s="1" a="1"/>
  <c r="K69" i="4" s="1"/>
  <c r="L62" i="4"/>
  <c r="L63" i="4"/>
  <c r="L64" i="4" s="1" a="1"/>
  <c r="L64" i="4" s="1"/>
  <c r="K22" i="4"/>
  <c r="K23" i="4"/>
  <c r="K24" i="4" s="1" a="1"/>
  <c r="K24" i="4" s="1"/>
  <c r="L15" i="4"/>
  <c r="L18" i="4" s="1"/>
  <c r="L19" i="4" s="1" a="1"/>
  <c r="L19" i="4" s="1"/>
  <c r="K17" i="4"/>
  <c r="N40" i="4" l="1"/>
  <c r="M42" i="4"/>
  <c r="M43" i="4"/>
  <c r="M44" i="4" s="1" a="1"/>
  <c r="M44" i="4" s="1"/>
  <c r="M30" i="4"/>
  <c r="L32" i="4"/>
  <c r="L33" i="4"/>
  <c r="L34" i="4" s="1" a="1"/>
  <c r="L34" i="4" s="1"/>
  <c r="L48" i="4"/>
  <c r="L49" i="4" s="1" a="1"/>
  <c r="L49" i="4" s="1"/>
  <c r="M45" i="4"/>
  <c r="L47" i="4"/>
  <c r="L27" i="4"/>
  <c r="L28" i="4"/>
  <c r="L29" i="4" s="1" a="1"/>
  <c r="L29" i="4" s="1"/>
  <c r="M25" i="4"/>
  <c r="L38" i="4"/>
  <c r="L39" i="4" s="1" a="1"/>
  <c r="L39" i="4" s="1"/>
  <c r="M35" i="4"/>
  <c r="L37" i="4"/>
  <c r="L53" i="4"/>
  <c r="L54" i="4" s="1" a="1"/>
  <c r="L54" i="4" s="1"/>
  <c r="L52" i="4"/>
  <c r="M50" i="4"/>
  <c r="M55" i="4"/>
  <c r="L58" i="4"/>
  <c r="L59" i="4" s="1" a="1"/>
  <c r="L59" i="4" s="1"/>
  <c r="L57" i="4"/>
  <c r="L72" i="4"/>
  <c r="L73" i="4"/>
  <c r="L74" i="4" s="1" a="1"/>
  <c r="L74" i="4" s="1"/>
  <c r="L67" i="4"/>
  <c r="L68" i="4"/>
  <c r="L69" i="4" s="1" a="1"/>
  <c r="L69" i="4" s="1"/>
  <c r="M62" i="4"/>
  <c r="M63" i="4"/>
  <c r="M64" i="4" s="1" a="1"/>
  <c r="M64" i="4" s="1"/>
  <c r="L23" i="4"/>
  <c r="L24" i="4" s="1" a="1"/>
  <c r="L24" i="4" s="1"/>
  <c r="L22" i="4"/>
  <c r="M15" i="4"/>
  <c r="M18" i="4" s="1"/>
  <c r="M19" i="4" s="1" a="1"/>
  <c r="M19" i="4" s="1"/>
  <c r="L17" i="4"/>
  <c r="M48" i="4" l="1"/>
  <c r="M49" i="4" s="1" a="1"/>
  <c r="M49" i="4" s="1"/>
  <c r="M47" i="4"/>
  <c r="N45" i="4"/>
  <c r="N25" i="4"/>
  <c r="M28" i="4"/>
  <c r="M29" i="4" s="1" a="1"/>
  <c r="M29" i="4" s="1"/>
  <c r="M27" i="4"/>
  <c r="M32" i="4"/>
  <c r="M33" i="4"/>
  <c r="M34" i="4" s="1" a="1"/>
  <c r="M34" i="4" s="1"/>
  <c r="N30" i="4"/>
  <c r="M52" i="4"/>
  <c r="M53" i="4"/>
  <c r="M54" i="4" s="1" a="1"/>
  <c r="M54" i="4" s="1"/>
  <c r="N50" i="4"/>
  <c r="M37" i="4"/>
  <c r="M38" i="4"/>
  <c r="M39" i="4" s="1" a="1"/>
  <c r="M39" i="4" s="1"/>
  <c r="N35" i="4"/>
  <c r="M58" i="4"/>
  <c r="M59" i="4" s="1" a="1"/>
  <c r="M59" i="4" s="1"/>
  <c r="N55" i="4"/>
  <c r="M57" i="4"/>
  <c r="O40" i="4"/>
  <c r="N42" i="4"/>
  <c r="N43" i="4"/>
  <c r="N44" i="4" s="1" a="1"/>
  <c r="N44" i="4" s="1"/>
  <c r="M72" i="4"/>
  <c r="M73" i="4"/>
  <c r="M74" i="4" s="1" a="1"/>
  <c r="M74" i="4" s="1"/>
  <c r="M67" i="4"/>
  <c r="M68" i="4"/>
  <c r="M69" i="4" s="1" a="1"/>
  <c r="M69" i="4" s="1"/>
  <c r="N62" i="4"/>
  <c r="N63" i="4"/>
  <c r="N64" i="4" s="1" a="1"/>
  <c r="N64" i="4" s="1"/>
  <c r="M22" i="4"/>
  <c r="M23" i="4"/>
  <c r="M24" i="4" s="1" a="1"/>
  <c r="M24" i="4" s="1"/>
  <c r="N15" i="4"/>
  <c r="N18" i="4" s="1"/>
  <c r="N19" i="4" s="1" a="1"/>
  <c r="N19" i="4" s="1"/>
  <c r="M17" i="4"/>
  <c r="N37" i="4" l="1"/>
  <c r="N38" i="4"/>
  <c r="N39" i="4" s="1" a="1"/>
  <c r="N39" i="4" s="1"/>
  <c r="O35" i="4"/>
  <c r="N53" i="4"/>
  <c r="N54" i="4" s="1" a="1"/>
  <c r="N54" i="4" s="1"/>
  <c r="O50" i="4"/>
  <c r="N52" i="4"/>
  <c r="N28" i="4"/>
  <c r="N29" i="4" s="1" a="1"/>
  <c r="N29" i="4" s="1"/>
  <c r="O25" i="4"/>
  <c r="N27" i="4"/>
  <c r="O45" i="4"/>
  <c r="N48" i="4"/>
  <c r="N49" i="4" s="1" a="1"/>
  <c r="N49" i="4" s="1"/>
  <c r="N47" i="4"/>
  <c r="O42" i="4"/>
  <c r="P40" i="4"/>
  <c r="O43" i="4"/>
  <c r="O44" i="4" s="1" a="1"/>
  <c r="O44" i="4" s="1"/>
  <c r="N57" i="4"/>
  <c r="O55" i="4"/>
  <c r="N58" i="4"/>
  <c r="N59" i="4" s="1" a="1"/>
  <c r="N59" i="4" s="1"/>
  <c r="N32" i="4"/>
  <c r="N33" i="4"/>
  <c r="N34" i="4" s="1" a="1"/>
  <c r="N34" i="4" s="1"/>
  <c r="O30" i="4"/>
  <c r="N72" i="4"/>
  <c r="N73" i="4"/>
  <c r="N74" i="4" s="1" a="1"/>
  <c r="N74" i="4" s="1"/>
  <c r="N67" i="4"/>
  <c r="N68" i="4"/>
  <c r="N69" i="4" s="1" a="1"/>
  <c r="N69" i="4" s="1"/>
  <c r="O63" i="4"/>
  <c r="O64" i="4" s="1" a="1"/>
  <c r="O64" i="4" s="1"/>
  <c r="O62" i="4"/>
  <c r="N22" i="4"/>
  <c r="N23" i="4"/>
  <c r="N24" i="4" s="1" a="1"/>
  <c r="N24" i="4" s="1"/>
  <c r="O15" i="4"/>
  <c r="O18" i="4" s="1"/>
  <c r="O19" i="4" s="1" a="1"/>
  <c r="O19" i="4" s="1"/>
  <c r="N17" i="4"/>
  <c r="P25" i="4" l="1"/>
  <c r="O28" i="4"/>
  <c r="O29" i="4" s="1" a="1"/>
  <c r="O29" i="4" s="1"/>
  <c r="O27" i="4"/>
  <c r="P42" i="4"/>
  <c r="Q40" i="4"/>
  <c r="P43" i="4"/>
  <c r="P44" i="4" s="1" a="1"/>
  <c r="P44" i="4" s="1"/>
  <c r="P30" i="4"/>
  <c r="O32" i="4"/>
  <c r="O33" i="4"/>
  <c r="O34" i="4" s="1" a="1"/>
  <c r="O34" i="4" s="1"/>
  <c r="O52" i="4"/>
  <c r="P50" i="4"/>
  <c r="O53" i="4"/>
  <c r="O54" i="4" s="1" a="1"/>
  <c r="O54" i="4" s="1"/>
  <c r="O37" i="4"/>
  <c r="O38" i="4"/>
  <c r="O39" i="4" s="1" a="1"/>
  <c r="O39" i="4" s="1"/>
  <c r="P35" i="4"/>
  <c r="O47" i="4"/>
  <c r="P45" i="4"/>
  <c r="O48" i="4"/>
  <c r="O49" i="4" s="1" a="1"/>
  <c r="O49" i="4" s="1"/>
  <c r="O58" i="4"/>
  <c r="O59" i="4" s="1" a="1"/>
  <c r="O59" i="4" s="1"/>
  <c r="O57" i="4"/>
  <c r="P55" i="4"/>
  <c r="O73" i="4"/>
  <c r="O74" i="4" s="1" a="1"/>
  <c r="O74" i="4" s="1"/>
  <c r="O72" i="4"/>
  <c r="O67" i="4"/>
  <c r="O68" i="4"/>
  <c r="O69" i="4" s="1" a="1"/>
  <c r="O69" i="4" s="1"/>
  <c r="P62" i="4"/>
  <c r="P63" i="4"/>
  <c r="P64" i="4" s="1" a="1"/>
  <c r="P64" i="4" s="1"/>
  <c r="O22" i="4"/>
  <c r="O23" i="4"/>
  <c r="O24" i="4" s="1" a="1"/>
  <c r="O24" i="4" s="1"/>
  <c r="P15" i="4"/>
  <c r="P18" i="4" s="1"/>
  <c r="P19" i="4" s="1" a="1"/>
  <c r="P19" i="4" s="1"/>
  <c r="O17" i="4"/>
  <c r="P37" i="4" l="1"/>
  <c r="Q35" i="4"/>
  <c r="P38" i="4"/>
  <c r="P39" i="4" s="1" a="1"/>
  <c r="P39" i="4" s="1"/>
  <c r="Q30" i="4"/>
  <c r="P33" i="4"/>
  <c r="P34" i="4" s="1" a="1"/>
  <c r="P34" i="4" s="1"/>
  <c r="P32" i="4"/>
  <c r="P58" i="4"/>
  <c r="P59" i="4" s="1" a="1"/>
  <c r="P59" i="4" s="1"/>
  <c r="P57" i="4"/>
  <c r="Q55" i="4"/>
  <c r="Q42" i="4"/>
  <c r="Q43" i="4"/>
  <c r="Q44" i="4" s="1" a="1"/>
  <c r="Q44" i="4" s="1"/>
  <c r="R40" i="4"/>
  <c r="P53" i="4"/>
  <c r="P54" i="4" s="1" a="1"/>
  <c r="P54" i="4" s="1"/>
  <c r="P52" i="4"/>
  <c r="Q50" i="4"/>
  <c r="P47" i="4"/>
  <c r="P48" i="4"/>
  <c r="P49" i="4" s="1" a="1"/>
  <c r="P49" i="4" s="1"/>
  <c r="Q45" i="4"/>
  <c r="P27" i="4"/>
  <c r="Q25" i="4"/>
  <c r="P28" i="4"/>
  <c r="P29" i="4" s="1" a="1"/>
  <c r="P29" i="4" s="1"/>
  <c r="P72" i="4"/>
  <c r="P73" i="4"/>
  <c r="P74" i="4" s="1" a="1"/>
  <c r="P74" i="4" s="1"/>
  <c r="P67" i="4"/>
  <c r="P68" i="4"/>
  <c r="P69" i="4" s="1" a="1"/>
  <c r="P69" i="4" s="1"/>
  <c r="Q63" i="4"/>
  <c r="Q64" i="4" s="1" a="1"/>
  <c r="Q64" i="4" s="1"/>
  <c r="Q62" i="4"/>
  <c r="P22" i="4"/>
  <c r="P23" i="4"/>
  <c r="P24" i="4" s="1" a="1"/>
  <c r="P24" i="4" s="1"/>
  <c r="Q15" i="4"/>
  <c r="Q18" i="4" s="1"/>
  <c r="Q19" i="4" s="1" a="1"/>
  <c r="Q19" i="4" s="1"/>
  <c r="P17" i="4"/>
  <c r="Q27" i="4" l="1"/>
  <c r="R25" i="4"/>
  <c r="Q28" i="4"/>
  <c r="Q29" i="4" s="1" a="1"/>
  <c r="Q29" i="4" s="1"/>
  <c r="R43" i="4"/>
  <c r="R44" i="4" s="1" a="1"/>
  <c r="R44" i="4" s="1"/>
  <c r="R42" i="4"/>
  <c r="S40" i="4"/>
  <c r="Q32" i="4"/>
  <c r="Q33" i="4"/>
  <c r="Q34" i="4" s="1" a="1"/>
  <c r="Q34" i="4" s="1"/>
  <c r="R30" i="4"/>
  <c r="Q48" i="4"/>
  <c r="Q49" i="4" s="1" a="1"/>
  <c r="Q49" i="4" s="1"/>
  <c r="Q47" i="4"/>
  <c r="R45" i="4"/>
  <c r="Q37" i="4"/>
  <c r="Q38" i="4"/>
  <c r="Q39" i="4" s="1" a="1"/>
  <c r="Q39" i="4" s="1"/>
  <c r="R35" i="4"/>
  <c r="R50" i="4"/>
  <c r="Q53" i="4"/>
  <c r="Q54" i="4" s="1" a="1"/>
  <c r="Q54" i="4" s="1"/>
  <c r="Q52" i="4"/>
  <c r="R55" i="4"/>
  <c r="Q57" i="4"/>
  <c r="Q58" i="4"/>
  <c r="Q59" i="4" s="1" a="1"/>
  <c r="Q59" i="4" s="1"/>
  <c r="Q73" i="4"/>
  <c r="Q74" i="4" s="1" a="1"/>
  <c r="Q74" i="4" s="1"/>
  <c r="Q72" i="4"/>
  <c r="Q68" i="4"/>
  <c r="Q69" i="4" s="1" a="1"/>
  <c r="Q69" i="4" s="1"/>
  <c r="Q67" i="4"/>
  <c r="R62" i="4"/>
  <c r="R63" i="4"/>
  <c r="R64" i="4" s="1" a="1"/>
  <c r="R64" i="4" s="1"/>
  <c r="Q22" i="4"/>
  <c r="Q23" i="4"/>
  <c r="Q24" i="4" s="1" a="1"/>
  <c r="Q24" i="4" s="1"/>
  <c r="R15" i="4"/>
  <c r="R18" i="4" s="1"/>
  <c r="R19" i="4" s="1" a="1"/>
  <c r="R19" i="4" s="1"/>
  <c r="Q17" i="4"/>
  <c r="R58" i="4" l="1"/>
  <c r="R59" i="4" s="1" a="1"/>
  <c r="R59" i="4" s="1"/>
  <c r="S55" i="4"/>
  <c r="R57" i="4"/>
  <c r="R38" i="4"/>
  <c r="R39" i="4" s="1" a="1"/>
  <c r="R39" i="4" s="1"/>
  <c r="S35" i="4"/>
  <c r="R37" i="4"/>
  <c r="S42" i="4"/>
  <c r="T40" i="4"/>
  <c r="S43" i="4"/>
  <c r="S44" i="4" s="1" a="1"/>
  <c r="S44" i="4" s="1"/>
  <c r="R52" i="4"/>
  <c r="R53" i="4"/>
  <c r="R54" i="4" s="1" a="1"/>
  <c r="R54" i="4" s="1"/>
  <c r="S50" i="4"/>
  <c r="R48" i="4"/>
  <c r="R49" i="4" s="1" a="1"/>
  <c r="R49" i="4" s="1"/>
  <c r="R47" i="4"/>
  <c r="S45" i="4"/>
  <c r="R28" i="4"/>
  <c r="R29" i="4" s="1" a="1"/>
  <c r="R29" i="4" s="1"/>
  <c r="R27" i="4"/>
  <c r="S25" i="4"/>
  <c r="R32" i="4"/>
  <c r="R33" i="4"/>
  <c r="R34" i="4" s="1" a="1"/>
  <c r="R34" i="4" s="1"/>
  <c r="S30" i="4"/>
  <c r="R73" i="4"/>
  <c r="R74" i="4" s="1" a="1"/>
  <c r="R74" i="4" s="1"/>
  <c r="R72" i="4"/>
  <c r="R67" i="4"/>
  <c r="R68" i="4"/>
  <c r="R69" i="4" s="1" a="1"/>
  <c r="R69" i="4" s="1"/>
  <c r="S62" i="4"/>
  <c r="S63" i="4"/>
  <c r="S64" i="4" s="1" a="1"/>
  <c r="S64" i="4" s="1"/>
  <c r="R23" i="4"/>
  <c r="R24" i="4" s="1" a="1"/>
  <c r="R24" i="4" s="1"/>
  <c r="R22" i="4"/>
  <c r="S15" i="4"/>
  <c r="S18" i="4" s="1"/>
  <c r="S19" i="4" s="1" a="1"/>
  <c r="S19" i="4" s="1"/>
  <c r="R17" i="4"/>
  <c r="U40" i="4" l="1"/>
  <c r="T43" i="4"/>
  <c r="T44" i="4" s="1" a="1"/>
  <c r="T44" i="4" s="1"/>
  <c r="T42" i="4"/>
  <c r="S48" i="4"/>
  <c r="S49" i="4" s="1" a="1"/>
  <c r="S49" i="4" s="1"/>
  <c r="T45" i="4"/>
  <c r="S47" i="4"/>
  <c r="S33" i="4"/>
  <c r="S34" i="4" s="1" a="1"/>
  <c r="S34" i="4" s="1"/>
  <c r="T30" i="4"/>
  <c r="S32" i="4"/>
  <c r="S38" i="4"/>
  <c r="S39" i="4" s="1" a="1"/>
  <c r="S39" i="4" s="1"/>
  <c r="T35" i="4"/>
  <c r="S37" i="4"/>
  <c r="S52" i="4"/>
  <c r="T50" i="4"/>
  <c r="S53" i="4"/>
  <c r="S54" i="4" s="1" a="1"/>
  <c r="S54" i="4" s="1"/>
  <c r="T25" i="4"/>
  <c r="S27" i="4"/>
  <c r="S28" i="4"/>
  <c r="S29" i="4" s="1" a="1"/>
  <c r="S29" i="4" s="1"/>
  <c r="T55" i="4"/>
  <c r="S58" i="4"/>
  <c r="S59" i="4" s="1" a="1"/>
  <c r="S59" i="4" s="1"/>
  <c r="S57" i="4"/>
  <c r="S72" i="4"/>
  <c r="S73" i="4"/>
  <c r="S74" i="4" s="1" a="1"/>
  <c r="S74" i="4" s="1"/>
  <c r="S67" i="4"/>
  <c r="S68" i="4"/>
  <c r="S69" i="4" s="1" a="1"/>
  <c r="S69" i="4" s="1"/>
  <c r="T62" i="4"/>
  <c r="T63" i="4"/>
  <c r="T64" i="4" s="1" a="1"/>
  <c r="T64" i="4" s="1"/>
  <c r="S22" i="4"/>
  <c r="S23" i="4"/>
  <c r="S24" i="4" s="1" a="1"/>
  <c r="S24" i="4" s="1"/>
  <c r="T15" i="4"/>
  <c r="T18" i="4" s="1"/>
  <c r="T19" i="4" s="1" a="1"/>
  <c r="T19" i="4" s="1"/>
  <c r="S17" i="4"/>
  <c r="T52" i="4" l="1"/>
  <c r="T53" i="4"/>
  <c r="T54" i="4" s="1" a="1"/>
  <c r="T54" i="4" s="1"/>
  <c r="U50" i="4"/>
  <c r="T28" i="4"/>
  <c r="T29" i="4" s="1" a="1"/>
  <c r="T29" i="4" s="1"/>
  <c r="T27" i="4"/>
  <c r="U25" i="4"/>
  <c r="T33" i="4"/>
  <c r="T34" i="4" s="1" a="1"/>
  <c r="T34" i="4" s="1"/>
  <c r="T32" i="4"/>
  <c r="U30" i="4"/>
  <c r="T47" i="4"/>
  <c r="U45" i="4"/>
  <c r="T48" i="4"/>
  <c r="T49" i="4" s="1" a="1"/>
  <c r="T49" i="4" s="1"/>
  <c r="U55" i="4"/>
  <c r="T58" i="4"/>
  <c r="T59" i="4" s="1" a="1"/>
  <c r="T59" i="4" s="1"/>
  <c r="T57" i="4"/>
  <c r="T38" i="4"/>
  <c r="T39" i="4" s="1" a="1"/>
  <c r="T39" i="4" s="1"/>
  <c r="T37" i="4"/>
  <c r="U35" i="4"/>
  <c r="U43" i="4"/>
  <c r="U44" i="4" s="1" a="1"/>
  <c r="U44" i="4" s="1"/>
  <c r="V40" i="4"/>
  <c r="U42" i="4"/>
  <c r="T72" i="4"/>
  <c r="T73" i="4"/>
  <c r="T74" i="4" s="1" a="1"/>
  <c r="T74" i="4" s="1"/>
  <c r="T68" i="4"/>
  <c r="T69" i="4" s="1" a="1"/>
  <c r="T69" i="4" s="1"/>
  <c r="T67" i="4"/>
  <c r="U62" i="4"/>
  <c r="U63" i="4"/>
  <c r="U64" i="4" s="1" a="1"/>
  <c r="U64" i="4" s="1"/>
  <c r="T23" i="4"/>
  <c r="T24" i="4" s="1" a="1"/>
  <c r="T24" i="4" s="1"/>
  <c r="T22" i="4"/>
  <c r="U15" i="4"/>
  <c r="U18" i="4" s="1"/>
  <c r="U19" i="4" s="1" a="1"/>
  <c r="U19" i="4" s="1"/>
  <c r="T17" i="4"/>
  <c r="V25" i="4" l="1"/>
  <c r="U28" i="4"/>
  <c r="U29" i="4" s="1" a="1"/>
  <c r="U29" i="4" s="1"/>
  <c r="U27" i="4"/>
  <c r="U58" i="4"/>
  <c r="U59" i="4" s="1" a="1"/>
  <c r="U59" i="4" s="1"/>
  <c r="U57" i="4"/>
  <c r="V55" i="4"/>
  <c r="V42" i="4"/>
  <c r="W40" i="4"/>
  <c r="V43" i="4"/>
  <c r="V44" i="4" s="1" a="1"/>
  <c r="V44" i="4" s="1"/>
  <c r="V45" i="4"/>
  <c r="U47" i="4"/>
  <c r="U48" i="4"/>
  <c r="U49" i="4" s="1" a="1"/>
  <c r="U49" i="4" s="1"/>
  <c r="V50" i="4"/>
  <c r="U53" i="4"/>
  <c r="U54" i="4" s="1" a="1"/>
  <c r="U54" i="4" s="1"/>
  <c r="U52" i="4"/>
  <c r="U37" i="4"/>
  <c r="U38" i="4"/>
  <c r="U39" i="4" s="1" a="1"/>
  <c r="U39" i="4" s="1"/>
  <c r="V35" i="4"/>
  <c r="U32" i="4"/>
  <c r="U33" i="4"/>
  <c r="U34" i="4" s="1" a="1"/>
  <c r="U34" i="4" s="1"/>
  <c r="V30" i="4"/>
  <c r="U73" i="4"/>
  <c r="U74" i="4" s="1" a="1"/>
  <c r="U74" i="4" s="1"/>
  <c r="U72" i="4"/>
  <c r="U67" i="4"/>
  <c r="U68" i="4"/>
  <c r="U69" i="4" s="1" a="1"/>
  <c r="U69" i="4" s="1"/>
  <c r="V62" i="4"/>
  <c r="V63" i="4"/>
  <c r="V64" i="4" s="1" a="1"/>
  <c r="V64" i="4" s="1"/>
  <c r="U23" i="4"/>
  <c r="U24" i="4" s="1" a="1"/>
  <c r="U24" i="4" s="1"/>
  <c r="U22" i="4"/>
  <c r="V15" i="4"/>
  <c r="V18" i="4" s="1"/>
  <c r="V19" i="4" s="1" a="1"/>
  <c r="V19" i="4" s="1"/>
  <c r="U17" i="4"/>
  <c r="X40" i="4" l="1"/>
  <c r="W43" i="4"/>
  <c r="W44" i="4" s="1" a="1"/>
  <c r="W44" i="4" s="1"/>
  <c r="W42" i="4"/>
  <c r="V57" i="4"/>
  <c r="V58" i="4"/>
  <c r="V59" i="4" s="1" a="1"/>
  <c r="V59" i="4" s="1"/>
  <c r="W55" i="4"/>
  <c r="V32" i="4"/>
  <c r="W30" i="4"/>
  <c r="V33" i="4"/>
  <c r="V34" i="4" s="1" a="1"/>
  <c r="V34" i="4" s="1"/>
  <c r="V52" i="4"/>
  <c r="V53" i="4"/>
  <c r="V54" i="4" s="1" a="1"/>
  <c r="V54" i="4" s="1"/>
  <c r="W50" i="4"/>
  <c r="V38" i="4"/>
  <c r="V39" i="4" s="1" a="1"/>
  <c r="V39" i="4" s="1"/>
  <c r="V37" i="4"/>
  <c r="W35" i="4"/>
  <c r="W45" i="4"/>
  <c r="V47" i="4"/>
  <c r="V48" i="4"/>
  <c r="V49" i="4" s="1" a="1"/>
  <c r="V49" i="4" s="1"/>
  <c r="V28" i="4"/>
  <c r="V29" i="4" s="1" a="1"/>
  <c r="V29" i="4" s="1"/>
  <c r="V27" i="4"/>
  <c r="W25" i="4"/>
  <c r="V72" i="4"/>
  <c r="V73" i="4"/>
  <c r="V74" i="4" s="1" a="1"/>
  <c r="V74" i="4" s="1"/>
  <c r="V67" i="4"/>
  <c r="V68" i="4"/>
  <c r="V69" i="4" s="1" a="1"/>
  <c r="V69" i="4" s="1"/>
  <c r="W62" i="4"/>
  <c r="W63" i="4"/>
  <c r="W64" i="4" s="1" a="1"/>
  <c r="W64" i="4" s="1"/>
  <c r="V22" i="4"/>
  <c r="V23" i="4"/>
  <c r="V24" i="4" s="1" a="1"/>
  <c r="V24" i="4" s="1"/>
  <c r="W15" i="4"/>
  <c r="W18" i="4" s="1"/>
  <c r="W19" i="4" s="1" a="1"/>
  <c r="W19" i="4" s="1"/>
  <c r="V17" i="4"/>
  <c r="X45" i="4" l="1"/>
  <c r="W48" i="4"/>
  <c r="W49" i="4" s="1" a="1"/>
  <c r="W49" i="4" s="1"/>
  <c r="W47" i="4"/>
  <c r="X30" i="4"/>
  <c r="W33" i="4"/>
  <c r="W34" i="4" s="1" a="1"/>
  <c r="W34" i="4" s="1"/>
  <c r="W32" i="4"/>
  <c r="W37" i="4"/>
  <c r="W38" i="4"/>
  <c r="W39" i="4" s="1" a="1"/>
  <c r="W39" i="4" s="1"/>
  <c r="X35" i="4"/>
  <c r="W58" i="4"/>
  <c r="W59" i="4" s="1" a="1"/>
  <c r="W59" i="4" s="1"/>
  <c r="X55" i="4"/>
  <c r="W57" i="4"/>
  <c r="W27" i="4"/>
  <c r="W28" i="4"/>
  <c r="W29" i="4" s="1" a="1"/>
  <c r="W29" i="4" s="1"/>
  <c r="X25" i="4"/>
  <c r="W52" i="4"/>
  <c r="X50" i="4"/>
  <c r="W53" i="4"/>
  <c r="W54" i="4" s="1" a="1"/>
  <c r="W54" i="4" s="1"/>
  <c r="Y40" i="4"/>
  <c r="X42" i="4"/>
  <c r="X43" i="4"/>
  <c r="X44" i="4" s="1" a="1"/>
  <c r="X44" i="4" s="1"/>
  <c r="W72" i="4"/>
  <c r="W73" i="4"/>
  <c r="W74" i="4" s="1" a="1"/>
  <c r="W74" i="4" s="1"/>
  <c r="W67" i="4"/>
  <c r="W68" i="4"/>
  <c r="W69" i="4" s="1" a="1"/>
  <c r="W69" i="4" s="1"/>
  <c r="X63" i="4"/>
  <c r="X64" i="4" s="1" a="1"/>
  <c r="X64" i="4" s="1"/>
  <c r="X62" i="4"/>
  <c r="W22" i="4"/>
  <c r="W23" i="4"/>
  <c r="W24" i="4" s="1" a="1"/>
  <c r="W24" i="4" s="1"/>
  <c r="X15" i="4"/>
  <c r="X18" i="4" s="1"/>
  <c r="X19" i="4" s="1" a="1"/>
  <c r="X19" i="4" s="1"/>
  <c r="W17" i="4"/>
  <c r="Y25" i="4" l="1"/>
  <c r="X28" i="4"/>
  <c r="X29" i="4" s="1" a="1"/>
  <c r="X29" i="4" s="1"/>
  <c r="X27" i="4"/>
  <c r="X32" i="4"/>
  <c r="X33" i="4"/>
  <c r="X34" i="4" s="1" a="1"/>
  <c r="X34" i="4" s="1"/>
  <c r="Y30" i="4"/>
  <c r="Z40" i="4"/>
  <c r="Y42" i="4"/>
  <c r="Y43" i="4"/>
  <c r="Y44" i="4" s="1" a="1"/>
  <c r="Y44" i="4" s="1"/>
  <c r="X58" i="4"/>
  <c r="X59" i="4" s="1" a="1"/>
  <c r="X59" i="4" s="1"/>
  <c r="Y55" i="4"/>
  <c r="X57" i="4"/>
  <c r="Y50" i="4"/>
  <c r="X52" i="4"/>
  <c r="X53" i="4"/>
  <c r="X54" i="4" s="1" a="1"/>
  <c r="X54" i="4" s="1"/>
  <c r="X37" i="4"/>
  <c r="Y35" i="4"/>
  <c r="X38" i="4"/>
  <c r="X39" i="4" s="1" a="1"/>
  <c r="X39" i="4" s="1"/>
  <c r="X47" i="4"/>
  <c r="X48" i="4"/>
  <c r="X49" i="4" s="1" a="1"/>
  <c r="X49" i="4" s="1"/>
  <c r="Y45" i="4"/>
  <c r="X73" i="4"/>
  <c r="X74" i="4" s="1" a="1"/>
  <c r="X74" i="4" s="1"/>
  <c r="X72" i="4"/>
  <c r="X67" i="4"/>
  <c r="X68" i="4"/>
  <c r="X69" i="4" s="1" a="1"/>
  <c r="X69" i="4" s="1"/>
  <c r="Y63" i="4"/>
  <c r="Y64" i="4" s="1" a="1"/>
  <c r="Y64" i="4" s="1"/>
  <c r="Y62" i="4"/>
  <c r="X23" i="4"/>
  <c r="X24" i="4" s="1" a="1"/>
  <c r="X24" i="4" s="1"/>
  <c r="X22" i="4"/>
  <c r="Y15" i="4"/>
  <c r="Y18" i="4" s="1"/>
  <c r="Y19" i="4" s="1" a="1"/>
  <c r="Y19" i="4" s="1"/>
  <c r="X17" i="4"/>
  <c r="AA40" i="4" l="1"/>
  <c r="Z42" i="4"/>
  <c r="Z43" i="4"/>
  <c r="Z44" i="4" s="1" a="1"/>
  <c r="Z44" i="4" s="1"/>
  <c r="Y32" i="4"/>
  <c r="Y33" i="4"/>
  <c r="Y34" i="4" s="1" a="1"/>
  <c r="Y34" i="4" s="1"/>
  <c r="Z30" i="4"/>
  <c r="Z45" i="4"/>
  <c r="Y47" i="4"/>
  <c r="Y48" i="4"/>
  <c r="Y49" i="4" s="1" a="1"/>
  <c r="Y49" i="4" s="1"/>
  <c r="Z50" i="4"/>
  <c r="Y52" i="4"/>
  <c r="Y53" i="4"/>
  <c r="Y54" i="4" s="1" a="1"/>
  <c r="Y54" i="4" s="1"/>
  <c r="Y57" i="4"/>
  <c r="Y58" i="4"/>
  <c r="Y59" i="4" s="1" a="1"/>
  <c r="Y59" i="4" s="1"/>
  <c r="Z55" i="4"/>
  <c r="Z35" i="4"/>
  <c r="Y37" i="4"/>
  <c r="Y38" i="4"/>
  <c r="Y39" i="4" s="1" a="1"/>
  <c r="Y39" i="4" s="1"/>
  <c r="Y27" i="4"/>
  <c r="Z25" i="4"/>
  <c r="Y28" i="4"/>
  <c r="Y29" i="4" s="1" a="1"/>
  <c r="Y29" i="4" s="1"/>
  <c r="Y72" i="4"/>
  <c r="Y73" i="4"/>
  <c r="Y74" i="4" s="1" a="1"/>
  <c r="Y74" i="4" s="1"/>
  <c r="Y68" i="4"/>
  <c r="Y69" i="4" s="1" a="1"/>
  <c r="Y69" i="4" s="1"/>
  <c r="Y67" i="4"/>
  <c r="Z62" i="4"/>
  <c r="Z63" i="4"/>
  <c r="Z64" i="4" s="1" a="1"/>
  <c r="Z64" i="4" s="1"/>
  <c r="Y23" i="4"/>
  <c r="Y24" i="4" s="1" a="1"/>
  <c r="Y24" i="4" s="1"/>
  <c r="Y22" i="4"/>
  <c r="Z15" i="4"/>
  <c r="Z18" i="4" s="1"/>
  <c r="Z19" i="4" s="1" a="1"/>
  <c r="Z19" i="4" s="1"/>
  <c r="Y17" i="4"/>
  <c r="Z38" i="4" l="1"/>
  <c r="Z39" i="4" s="1" a="1"/>
  <c r="Z39" i="4" s="1"/>
  <c r="AA35" i="4"/>
  <c r="Z37" i="4"/>
  <c r="AA55" i="4"/>
  <c r="Z57" i="4"/>
  <c r="Z58" i="4"/>
  <c r="Z59" i="4" s="1" a="1"/>
  <c r="Z59" i="4" s="1"/>
  <c r="Z47" i="4"/>
  <c r="Z48" i="4"/>
  <c r="Z49" i="4" s="1" a="1"/>
  <c r="Z49" i="4" s="1"/>
  <c r="AA45" i="4"/>
  <c r="Z32" i="4"/>
  <c r="AA30" i="4"/>
  <c r="Z33" i="4"/>
  <c r="Z34" i="4" s="1" a="1"/>
  <c r="Z34" i="4" s="1"/>
  <c r="AA25" i="4"/>
  <c r="Z28" i="4"/>
  <c r="Z29" i="4" s="1" a="1"/>
  <c r="Z29" i="4" s="1"/>
  <c r="Z27" i="4"/>
  <c r="Z53" i="4"/>
  <c r="Z54" i="4" s="1" a="1"/>
  <c r="Z54" i="4" s="1"/>
  <c r="Z52" i="4"/>
  <c r="AA50" i="4"/>
  <c r="AA42" i="4"/>
  <c r="AB40" i="4"/>
  <c r="AA43" i="4"/>
  <c r="AA44" i="4" s="1" a="1"/>
  <c r="AA44" i="4" s="1"/>
  <c r="Z72" i="4"/>
  <c r="Z73" i="4"/>
  <c r="Z74" i="4" s="1" a="1"/>
  <c r="Z74" i="4" s="1"/>
  <c r="Z68" i="4"/>
  <c r="Z69" i="4" s="1" a="1"/>
  <c r="Z69" i="4" s="1"/>
  <c r="Z67" i="4"/>
  <c r="AA63" i="4"/>
  <c r="AA64" i="4" s="1" a="1"/>
  <c r="AA64" i="4" s="1"/>
  <c r="AA62" i="4"/>
  <c r="Z22" i="4"/>
  <c r="Z23" i="4"/>
  <c r="Z24" i="4" s="1" a="1"/>
  <c r="Z24" i="4" s="1"/>
  <c r="AA15" i="4"/>
  <c r="AA18" i="4" s="1"/>
  <c r="AA19" i="4" s="1" a="1"/>
  <c r="AA19" i="4" s="1"/>
  <c r="Z17" i="4"/>
  <c r="AA27" i="4" l="1"/>
  <c r="AA28" i="4"/>
  <c r="AA29" i="4" s="1" a="1"/>
  <c r="AA29" i="4" s="1"/>
  <c r="AB25" i="4"/>
  <c r="AA58" i="4"/>
  <c r="AA59" i="4" s="1" a="1"/>
  <c r="AA59" i="4" s="1"/>
  <c r="AA57" i="4"/>
  <c r="AB55" i="4"/>
  <c r="AB43" i="4"/>
  <c r="AB44" i="4" s="1" a="1"/>
  <c r="AB44" i="4" s="1"/>
  <c r="AC40" i="4"/>
  <c r="AB42" i="4"/>
  <c r="AA33" i="4"/>
  <c r="AA34" i="4" s="1" a="1"/>
  <c r="AA34" i="4" s="1"/>
  <c r="AB30" i="4"/>
  <c r="AA32" i="4"/>
  <c r="AB50" i="4"/>
  <c r="AA52" i="4"/>
  <c r="AA53" i="4"/>
  <c r="AA54" i="4" s="1" a="1"/>
  <c r="AA54" i="4" s="1"/>
  <c r="AB35" i="4"/>
  <c r="AA37" i="4"/>
  <c r="AA38" i="4"/>
  <c r="AA39" i="4" s="1" a="1"/>
  <c r="AA39" i="4" s="1"/>
  <c r="AB45" i="4"/>
  <c r="AA47" i="4"/>
  <c r="AA48" i="4"/>
  <c r="AA49" i="4" s="1" a="1"/>
  <c r="AA49" i="4" s="1"/>
  <c r="AA72" i="4"/>
  <c r="AA73" i="4"/>
  <c r="AA74" i="4" s="1" a="1"/>
  <c r="AA74" i="4" s="1"/>
  <c r="AA68" i="4"/>
  <c r="AA69" i="4" s="1" a="1"/>
  <c r="AA69" i="4" s="1"/>
  <c r="AA67" i="4"/>
  <c r="AB63" i="4"/>
  <c r="AB64" i="4" s="1" a="1"/>
  <c r="AB64" i="4" s="1"/>
  <c r="AB62" i="4"/>
  <c r="AA22" i="4"/>
  <c r="AA23" i="4"/>
  <c r="AA24" i="4" s="1" a="1"/>
  <c r="AA24" i="4" s="1"/>
  <c r="AB15" i="4"/>
  <c r="AB18" i="4" s="1"/>
  <c r="AB19" i="4" s="1" a="1"/>
  <c r="AB19" i="4" s="1"/>
  <c r="AA17" i="4"/>
  <c r="AB58" i="4" l="1"/>
  <c r="AB59" i="4" s="1" a="1"/>
  <c r="AB59" i="4" s="1"/>
  <c r="AC55" i="4"/>
  <c r="AB57" i="4"/>
  <c r="AB53" i="4"/>
  <c r="AB54" i="4" s="1" a="1"/>
  <c r="AB54" i="4" s="1"/>
  <c r="AC50" i="4"/>
  <c r="AB52" i="4"/>
  <c r="AB37" i="4"/>
  <c r="AC35" i="4"/>
  <c r="AB38" i="4"/>
  <c r="AB39" i="4" s="1" a="1"/>
  <c r="AB39" i="4" s="1"/>
  <c r="AC45" i="4"/>
  <c r="AB47" i="4"/>
  <c r="AB48" i="4"/>
  <c r="AB49" i="4" s="1" a="1"/>
  <c r="AB49" i="4" s="1"/>
  <c r="AC30" i="4"/>
  <c r="AB33" i="4"/>
  <c r="AB34" i="4" s="1" a="1"/>
  <c r="AB34" i="4" s="1"/>
  <c r="AB32" i="4"/>
  <c r="AB27" i="4"/>
  <c r="AC25" i="4"/>
  <c r="AB28" i="4"/>
  <c r="AB29" i="4" s="1" a="1"/>
  <c r="AB29" i="4" s="1"/>
  <c r="AC42" i="4"/>
  <c r="AC43" i="4"/>
  <c r="AC44" i="4" s="1" a="1"/>
  <c r="AC44" i="4" s="1"/>
  <c r="AD40" i="4"/>
  <c r="AB72" i="4"/>
  <c r="AB73" i="4"/>
  <c r="AB74" i="4" s="1" a="1"/>
  <c r="AB74" i="4" s="1"/>
  <c r="AB67" i="4"/>
  <c r="AB68" i="4"/>
  <c r="AB69" i="4" s="1" a="1"/>
  <c r="AB69" i="4" s="1"/>
  <c r="AC62" i="4"/>
  <c r="AC63" i="4"/>
  <c r="AC64" i="4" s="1" a="1"/>
  <c r="AC64" i="4" s="1"/>
  <c r="AB22" i="4"/>
  <c r="AB23" i="4"/>
  <c r="AB24" i="4" s="1" a="1"/>
  <c r="AB24" i="4" s="1"/>
  <c r="AC15" i="4"/>
  <c r="AC18" i="4" s="1"/>
  <c r="AC19" i="4" s="1" a="1"/>
  <c r="AC19" i="4" s="1"/>
  <c r="AB17" i="4"/>
  <c r="AC37" i="4" l="1"/>
  <c r="AD35" i="4"/>
  <c r="AC38" i="4"/>
  <c r="AC39" i="4" s="1" a="1"/>
  <c r="AC39" i="4" s="1"/>
  <c r="AD43" i="4"/>
  <c r="AD44" i="4" s="1" a="1"/>
  <c r="AD44" i="4" s="1"/>
  <c r="AE40" i="4"/>
  <c r="AD42" i="4"/>
  <c r="AD30" i="4"/>
  <c r="AC33" i="4"/>
  <c r="AC34" i="4" s="1" a="1"/>
  <c r="AC34" i="4" s="1"/>
  <c r="AC32" i="4"/>
  <c r="AD50" i="4"/>
  <c r="AC53" i="4"/>
  <c r="AC54" i="4" s="1" a="1"/>
  <c r="AC54" i="4" s="1"/>
  <c r="AC52" i="4"/>
  <c r="AC48" i="4"/>
  <c r="AC49" i="4" s="1" a="1"/>
  <c r="AC49" i="4" s="1"/>
  <c r="AC47" i="4"/>
  <c r="AD45" i="4"/>
  <c r="AC58" i="4"/>
  <c r="AC59" i="4" s="1" a="1"/>
  <c r="AC59" i="4" s="1"/>
  <c r="AD55" i="4"/>
  <c r="AC57" i="4"/>
  <c r="AC28" i="4"/>
  <c r="AC29" i="4" s="1" a="1"/>
  <c r="AC29" i="4" s="1"/>
  <c r="AD25" i="4"/>
  <c r="AC27" i="4"/>
  <c r="AC72" i="4"/>
  <c r="AC73" i="4"/>
  <c r="AC74" i="4" s="1" a="1"/>
  <c r="AC74" i="4" s="1"/>
  <c r="AC67" i="4"/>
  <c r="AC68" i="4"/>
  <c r="AC69" i="4" s="1" a="1"/>
  <c r="AC69" i="4" s="1"/>
  <c r="AD62" i="4"/>
  <c r="AD63" i="4"/>
  <c r="AD64" i="4" s="1" a="1"/>
  <c r="AD64" i="4" s="1"/>
  <c r="AC22" i="4"/>
  <c r="AC23" i="4"/>
  <c r="AC24" i="4" s="1" a="1"/>
  <c r="AC24" i="4" s="1"/>
  <c r="AD15" i="4"/>
  <c r="AD18" i="4" s="1"/>
  <c r="AD19" i="4" s="1" a="1"/>
  <c r="AD19" i="4" s="1"/>
  <c r="AC17" i="4"/>
  <c r="AE45" i="4" l="1"/>
  <c r="AD47" i="4"/>
  <c r="AD48" i="4"/>
  <c r="AD49" i="4" s="1" a="1"/>
  <c r="AD49" i="4" s="1"/>
  <c r="AE30" i="4"/>
  <c r="AD32" i="4"/>
  <c r="AD33" i="4"/>
  <c r="AD34" i="4" s="1" a="1"/>
  <c r="AD34" i="4" s="1"/>
  <c r="AF40" i="4"/>
  <c r="AE42" i="4"/>
  <c r="AE43" i="4"/>
  <c r="AE44" i="4" s="1" a="1"/>
  <c r="AE44" i="4" s="1"/>
  <c r="AD27" i="4"/>
  <c r="AD28" i="4"/>
  <c r="AD29" i="4" s="1" a="1"/>
  <c r="AD29" i="4" s="1"/>
  <c r="AE25" i="4"/>
  <c r="AD53" i="4"/>
  <c r="AD54" i="4" s="1" a="1"/>
  <c r="AD54" i="4" s="1"/>
  <c r="AE50" i="4"/>
  <c r="AD52" i="4"/>
  <c r="AD37" i="4"/>
  <c r="AE35" i="4"/>
  <c r="AD38" i="4"/>
  <c r="AD39" i="4" s="1" a="1"/>
  <c r="AD39" i="4" s="1"/>
  <c r="AD57" i="4"/>
  <c r="AD58" i="4"/>
  <c r="AD59" i="4" s="1" a="1"/>
  <c r="AD59" i="4" s="1"/>
  <c r="AE55" i="4"/>
  <c r="AD72" i="4"/>
  <c r="AD73" i="4"/>
  <c r="AD74" i="4" s="1" a="1"/>
  <c r="AD74" i="4" s="1"/>
  <c r="AD67" i="4"/>
  <c r="AD68" i="4"/>
  <c r="AD69" i="4" s="1" a="1"/>
  <c r="AD69" i="4" s="1"/>
  <c r="AE62" i="4"/>
  <c r="AE63" i="4"/>
  <c r="AE64" i="4" s="1" a="1"/>
  <c r="AE64" i="4" s="1"/>
  <c r="AD22" i="4"/>
  <c r="AD23" i="4"/>
  <c r="AD24" i="4" s="1" a="1"/>
  <c r="AD24" i="4" s="1"/>
  <c r="AE15" i="4"/>
  <c r="AE18" i="4" s="1"/>
  <c r="AE19" i="4" s="1" a="1"/>
  <c r="AE19" i="4" s="1"/>
  <c r="AD17" i="4"/>
  <c r="AF43" i="4" l="1"/>
  <c r="AF44" i="4" s="1" a="1"/>
  <c r="AF44" i="4" s="1"/>
  <c r="AG40" i="4"/>
  <c r="AF42" i="4"/>
  <c r="AF50" i="4"/>
  <c r="AE52" i="4"/>
  <c r="AE53" i="4"/>
  <c r="AE54" i="4" s="1" a="1"/>
  <c r="AE54" i="4" s="1"/>
  <c r="AF55" i="4"/>
  <c r="AE58" i="4"/>
  <c r="AE59" i="4" s="1" a="1"/>
  <c r="AE59" i="4" s="1"/>
  <c r="AE57" i="4"/>
  <c r="AF25" i="4"/>
  <c r="AE27" i="4"/>
  <c r="AE28" i="4"/>
  <c r="AE29" i="4" s="1" a="1"/>
  <c r="AE29" i="4" s="1"/>
  <c r="AE33" i="4"/>
  <c r="AE34" i="4" s="1" a="1"/>
  <c r="AE34" i="4" s="1"/>
  <c r="AF30" i="4"/>
  <c r="AE32" i="4"/>
  <c r="AE37" i="4"/>
  <c r="AF35" i="4"/>
  <c r="AE38" i="4"/>
  <c r="AE39" i="4" s="1" a="1"/>
  <c r="AE39" i="4" s="1"/>
  <c r="AF45" i="4"/>
  <c r="AE48" i="4"/>
  <c r="AE49" i="4" s="1" a="1"/>
  <c r="AE49" i="4" s="1"/>
  <c r="AE47" i="4"/>
  <c r="AE72" i="4"/>
  <c r="AE73" i="4"/>
  <c r="AE74" i="4" s="1" a="1"/>
  <c r="AE74" i="4" s="1"/>
  <c r="AE67" i="4"/>
  <c r="AE68" i="4"/>
  <c r="AE69" i="4" s="1" a="1"/>
  <c r="AE69" i="4" s="1"/>
  <c r="AF63" i="4"/>
  <c r="AF64" i="4" s="1" a="1"/>
  <c r="AF64" i="4" s="1"/>
  <c r="AF62" i="4"/>
  <c r="AE22" i="4"/>
  <c r="AE23" i="4"/>
  <c r="AE24" i="4" s="1" a="1"/>
  <c r="AE24" i="4" s="1"/>
  <c r="AF15" i="4"/>
  <c r="AF18" i="4" s="1"/>
  <c r="AF19" i="4" s="1" a="1"/>
  <c r="AF19" i="4" s="1"/>
  <c r="AE17" i="4"/>
  <c r="AF58" i="4" l="1"/>
  <c r="AF59" i="4" s="1" a="1"/>
  <c r="AF59" i="4" s="1"/>
  <c r="AF57" i="4"/>
  <c r="AG55" i="4"/>
  <c r="AF33" i="4"/>
  <c r="AF34" i="4" s="1" a="1"/>
  <c r="AF34" i="4" s="1"/>
  <c r="AG30" i="4"/>
  <c r="AF32" i="4"/>
  <c r="AG50" i="4"/>
  <c r="AF53" i="4"/>
  <c r="AF54" i="4" s="1" a="1"/>
  <c r="AF54" i="4" s="1"/>
  <c r="AF52" i="4"/>
  <c r="AF47" i="4"/>
  <c r="AG45" i="4"/>
  <c r="AF48" i="4"/>
  <c r="AF49" i="4" s="1" a="1"/>
  <c r="AF49" i="4" s="1"/>
  <c r="AG25" i="4"/>
  <c r="AF28" i="4"/>
  <c r="AF29" i="4" s="1" a="1"/>
  <c r="AF29" i="4" s="1"/>
  <c r="AF27" i="4"/>
  <c r="AG43" i="4"/>
  <c r="AG44" i="4" s="1" a="1"/>
  <c r="AG44" i="4" s="1"/>
  <c r="AH40" i="4"/>
  <c r="AG42" i="4"/>
  <c r="AG35" i="4"/>
  <c r="AF37" i="4"/>
  <c r="AF38" i="4"/>
  <c r="AF39" i="4" s="1" a="1"/>
  <c r="AF39" i="4" s="1"/>
  <c r="AF72" i="4"/>
  <c r="AF73" i="4"/>
  <c r="AF74" i="4" s="1" a="1"/>
  <c r="AF74" i="4" s="1"/>
  <c r="AF67" i="4"/>
  <c r="AF68" i="4"/>
  <c r="AF69" i="4" s="1" a="1"/>
  <c r="AF69" i="4" s="1"/>
  <c r="AG62" i="4"/>
  <c r="AG63" i="4"/>
  <c r="AG64" i="4" s="1" a="1"/>
  <c r="AG64" i="4" s="1"/>
  <c r="AF23" i="4"/>
  <c r="AF24" i="4" s="1" a="1"/>
  <c r="AF24" i="4" s="1"/>
  <c r="AF22" i="4"/>
  <c r="AG15" i="4"/>
  <c r="AG18" i="4" s="1"/>
  <c r="AG19" i="4" s="1" a="1"/>
  <c r="AG19" i="4" s="1"/>
  <c r="AF17" i="4"/>
  <c r="AH50" i="4" l="1"/>
  <c r="AG52" i="4"/>
  <c r="AG53" i="4"/>
  <c r="AG54" i="4" s="1" a="1"/>
  <c r="AG54" i="4" s="1"/>
  <c r="AH25" i="4"/>
  <c r="AG28" i="4"/>
  <c r="AG29" i="4" s="1" a="1"/>
  <c r="AG29" i="4" s="1"/>
  <c r="AG27" i="4"/>
  <c r="AG32" i="4"/>
  <c r="AG33" i="4"/>
  <c r="AG34" i="4" s="1" a="1"/>
  <c r="AG34" i="4" s="1"/>
  <c r="AH30" i="4"/>
  <c r="AH35" i="4"/>
  <c r="AG38" i="4"/>
  <c r="AG39" i="4" s="1" a="1"/>
  <c r="AG39" i="4" s="1"/>
  <c r="AG37" i="4"/>
  <c r="AH55" i="4"/>
  <c r="AG57" i="4"/>
  <c r="AG58" i="4"/>
  <c r="AG59" i="4" s="1" a="1"/>
  <c r="AG59" i="4" s="1"/>
  <c r="AG48" i="4"/>
  <c r="AG49" i="4" s="1" a="1"/>
  <c r="AG49" i="4" s="1"/>
  <c r="AG47" i="4"/>
  <c r="AH45" i="4"/>
  <c r="AH43" i="4"/>
  <c r="AH44" i="4" s="1" a="1"/>
  <c r="AH44" i="4" s="1"/>
  <c r="AH42" i="4"/>
  <c r="AG73" i="4"/>
  <c r="AG74" i="4" s="1" a="1"/>
  <c r="AG74" i="4" s="1"/>
  <c r="AG72" i="4"/>
  <c r="AG68" i="4"/>
  <c r="AG69" i="4" s="1" a="1"/>
  <c r="AG69" i="4" s="1"/>
  <c r="AG67" i="4"/>
  <c r="AH62" i="4"/>
  <c r="AI60" i="4"/>
  <c r="AH63" i="4"/>
  <c r="AH64" i="4" s="1" a="1"/>
  <c r="AH64" i="4" s="1"/>
  <c r="AI40" i="4"/>
  <c r="AG22" i="4"/>
  <c r="AG23" i="4"/>
  <c r="AG24" i="4" s="1" a="1"/>
  <c r="AG24" i="4" s="1"/>
  <c r="AH15" i="4"/>
  <c r="AH18" i="4" s="1"/>
  <c r="AH19" i="4" s="1" a="1"/>
  <c r="AH19" i="4" s="1"/>
  <c r="AG17" i="4"/>
  <c r="AK44" i="4" l="1"/>
  <c r="AW44" i="4"/>
  <c r="AT44" i="4"/>
  <c r="AR44" i="4"/>
  <c r="AV44" i="4"/>
  <c r="AL44" i="4"/>
  <c r="AS44" i="4"/>
  <c r="AU44" i="4"/>
  <c r="AN44" i="4"/>
  <c r="AO44" i="4"/>
  <c r="AQ44" i="4"/>
  <c r="AP44" i="4"/>
  <c r="AI44" i="4"/>
  <c r="AJ44" i="4"/>
  <c r="AM44" i="4"/>
  <c r="AW64" i="4"/>
  <c r="AU64" i="4"/>
  <c r="AT64" i="4"/>
  <c r="AN64" i="4"/>
  <c r="AM64" i="4"/>
  <c r="AJ64" i="4"/>
  <c r="AO64" i="4"/>
  <c r="AK64" i="4"/>
  <c r="AP64" i="4"/>
  <c r="AQ64" i="4"/>
  <c r="AL64" i="4"/>
  <c r="AR64" i="4"/>
  <c r="AH47" i="4"/>
  <c r="AH48" i="4"/>
  <c r="AH49" i="4" s="1" a="1"/>
  <c r="AH49" i="4" s="1"/>
  <c r="AH37" i="4"/>
  <c r="AH38" i="4"/>
  <c r="AH39" i="4" s="1" a="1"/>
  <c r="AH39" i="4" s="1"/>
  <c r="AH58" i="4"/>
  <c r="AH59" i="4" s="1" a="1"/>
  <c r="AH59" i="4" s="1"/>
  <c r="AH57" i="4"/>
  <c r="AH27" i="4"/>
  <c r="AH28" i="4"/>
  <c r="AH29" i="4" s="1" a="1"/>
  <c r="AH29" i="4" s="1"/>
  <c r="AH33" i="4"/>
  <c r="AH34" i="4" s="1" a="1"/>
  <c r="AH34" i="4" s="1"/>
  <c r="AH32" i="4"/>
  <c r="AH53" i="4"/>
  <c r="AH54" i="4" s="1" a="1"/>
  <c r="AH54" i="4" s="1"/>
  <c r="AH52" i="4"/>
  <c r="AS64" i="4"/>
  <c r="AV64" i="4"/>
  <c r="AI64" i="4"/>
  <c r="AH73" i="4"/>
  <c r="AH74" i="4" s="1" a="1"/>
  <c r="AH74" i="4" s="1"/>
  <c r="AH72" i="4"/>
  <c r="AI70" i="4"/>
  <c r="AH67" i="4"/>
  <c r="AI65" i="4"/>
  <c r="AH68" i="4"/>
  <c r="AH69" i="4" s="1" a="1"/>
  <c r="AH69" i="4" s="1"/>
  <c r="AI55" i="4"/>
  <c r="AI50" i="4"/>
  <c r="AI45" i="4"/>
  <c r="AI35" i="4"/>
  <c r="AI30" i="4"/>
  <c r="AI25" i="4"/>
  <c r="AI20" i="4"/>
  <c r="AH23" i="4"/>
  <c r="AH24" i="4" s="1" a="1"/>
  <c r="AH24" i="4" s="1"/>
  <c r="AH22" i="4"/>
  <c r="AI15" i="4"/>
  <c r="AH17" i="4"/>
  <c r="AQ29" i="4" l="1"/>
  <c r="AV29" i="4"/>
  <c r="AM29" i="4"/>
  <c r="AP29" i="4"/>
  <c r="AO29" i="4"/>
  <c r="AK29" i="4"/>
  <c r="AR29" i="4"/>
  <c r="AN29" i="4"/>
  <c r="AU29" i="4"/>
  <c r="AS29" i="4"/>
  <c r="AJ29" i="4"/>
  <c r="AT29" i="4"/>
  <c r="AW29" i="4"/>
  <c r="AI29" i="4"/>
  <c r="AL29" i="4"/>
  <c r="AP69" i="4"/>
  <c r="AL69" i="4"/>
  <c r="AJ69" i="4"/>
  <c r="AM69" i="4"/>
  <c r="AN69" i="4"/>
  <c r="AK69" i="4"/>
  <c r="AU69" i="4"/>
  <c r="AS69" i="4"/>
  <c r="AT69" i="4"/>
  <c r="AI69" i="4"/>
  <c r="AQ69" i="4"/>
  <c r="AO69" i="4"/>
  <c r="AV69" i="4"/>
  <c r="AW69" i="4"/>
  <c r="AR69" i="4"/>
  <c r="AJ34" i="4"/>
  <c r="AW34" i="4"/>
  <c r="AT34" i="4"/>
  <c r="AU34" i="4"/>
  <c r="AO34" i="4"/>
  <c r="AN34" i="4"/>
  <c r="AQ34" i="4"/>
  <c r="AL34" i="4"/>
  <c r="AR34" i="4"/>
  <c r="AI34" i="4"/>
  <c r="AK34" i="4"/>
  <c r="AM34" i="4"/>
  <c r="AV34" i="4"/>
  <c r="AP34" i="4"/>
  <c r="AS34" i="4"/>
  <c r="AW59" i="4"/>
  <c r="AT59" i="4"/>
  <c r="AU59" i="4"/>
  <c r="AU39" i="4"/>
  <c r="AW39" i="4"/>
  <c r="AT39" i="4"/>
  <c r="AW19" i="4"/>
  <c r="AT19" i="4"/>
  <c r="AU19" i="4"/>
  <c r="AU74" i="4"/>
  <c r="AW74" i="4"/>
  <c r="AT74" i="4"/>
  <c r="AT54" i="4"/>
  <c r="AW54" i="4"/>
  <c r="AU54" i="4"/>
  <c r="AT49" i="4"/>
  <c r="AU49" i="4"/>
  <c r="AW49" i="4"/>
  <c r="AU24" i="4"/>
  <c r="AW24" i="4"/>
  <c r="AT24" i="4"/>
  <c r="AM59" i="4"/>
  <c r="AN59" i="4"/>
  <c r="AM54" i="4"/>
  <c r="AN54" i="4"/>
  <c r="AN39" i="4"/>
  <c r="AM39" i="4"/>
  <c r="AM49" i="4"/>
  <c r="AN49" i="4"/>
  <c r="AN74" i="4"/>
  <c r="AM74" i="4"/>
  <c r="AK19" i="4"/>
  <c r="AN19" i="4"/>
  <c r="AN24" i="4"/>
  <c r="AM24" i="4"/>
  <c r="AL74" i="4"/>
  <c r="AK74" i="4"/>
  <c r="AR74" i="4"/>
  <c r="AO74" i="4"/>
  <c r="AQ74" i="4"/>
  <c r="AP74" i="4"/>
  <c r="AJ74" i="4"/>
  <c r="AL54" i="4"/>
  <c r="AQ54" i="4"/>
  <c r="AK54" i="4"/>
  <c r="AO54" i="4"/>
  <c r="AJ54" i="4"/>
  <c r="AR54" i="4"/>
  <c r="AP54" i="4"/>
  <c r="AJ59" i="4"/>
  <c r="AP59" i="4"/>
  <c r="AR59" i="4"/>
  <c r="AQ59" i="4"/>
  <c r="AK59" i="4"/>
  <c r="AL59" i="4"/>
  <c r="AO59" i="4"/>
  <c r="AL24" i="4"/>
  <c r="AO24" i="4"/>
  <c r="AQ24" i="4"/>
  <c r="AJ24" i="4"/>
  <c r="AP24" i="4"/>
  <c r="AR24" i="4"/>
  <c r="AK24" i="4"/>
  <c r="AL39" i="4"/>
  <c r="AJ39" i="4"/>
  <c r="AO39" i="4"/>
  <c r="AP39" i="4"/>
  <c r="AK39" i="4"/>
  <c r="AQ39" i="4"/>
  <c r="AR39" i="4"/>
  <c r="AL49" i="4"/>
  <c r="AQ49" i="4"/>
  <c r="AO49" i="4"/>
  <c r="AR49" i="4"/>
  <c r="AJ49" i="4"/>
  <c r="AP49" i="4"/>
  <c r="AK49" i="4"/>
  <c r="AL19" i="4"/>
  <c r="AQ19" i="4"/>
  <c r="AR19" i="4"/>
  <c r="AJ19" i="4"/>
  <c r="AO19" i="4"/>
  <c r="AP19" i="4"/>
  <c r="AM19" i="4"/>
  <c r="AI19" i="4"/>
  <c r="AS19" i="4"/>
  <c r="AV19" i="4"/>
  <c r="AS39" i="4"/>
  <c r="AV39" i="4"/>
  <c r="AV54" i="4"/>
  <c r="AS54" i="4"/>
  <c r="AS74" i="4"/>
  <c r="AV74" i="4"/>
  <c r="AS24" i="4"/>
  <c r="AV24" i="4"/>
  <c r="AV59" i="4"/>
  <c r="AS59" i="4"/>
  <c r="AV49" i="4"/>
  <c r="AS49" i="4"/>
  <c r="AI39" i="4"/>
  <c r="AI74" i="4"/>
  <c r="AI59" i="4"/>
  <c r="AI49" i="4"/>
  <c r="AI54" i="4"/>
  <c r="AI24" i="4"/>
  <c r="Y9" i="4" l="1"/>
  <c r="J9" i="4"/>
  <c r="Y7" i="4"/>
  <c r="AF11" i="4"/>
  <c r="R11" i="4"/>
  <c r="R13" i="4"/>
  <c r="J11" i="4"/>
  <c r="AF13" i="4"/>
  <c r="R9" i="4"/>
  <c r="Y11" i="4"/>
  <c r="AF7" i="4"/>
  <c r="R7" i="4"/>
  <c r="J7" i="4"/>
  <c r="J13" i="4"/>
  <c r="AF9" i="4"/>
  <c r="P8" i="5" s="1"/>
</calcChain>
</file>

<file path=xl/comments1.xml><?xml version="1.0" encoding="utf-8"?>
<comments xmlns="http://schemas.openxmlformats.org/spreadsheetml/2006/main">
  <authors>
    <author>Utilisateur</author>
  </authors>
  <commentList>
    <comment ref="AG4" authorId="0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cette colonne sert à connaitre les mois qui ont des jours fériés</t>
        </r>
      </text>
    </comment>
    <comment ref="AC18" authorId="0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cette colonne sert à connaitre le nombre de jours fériés par mois</t>
        </r>
      </text>
    </comment>
  </commentList>
</comments>
</file>

<file path=xl/comments2.xml><?xml version="1.0" encoding="utf-8"?>
<comments xmlns="http://schemas.openxmlformats.org/spreadsheetml/2006/main">
  <authors>
    <author>Jean-Claude RIOU</author>
  </authors>
  <commentList>
    <comment ref="AF9" authorId="0">
      <text>
        <r>
          <rPr>
            <b/>
            <sz val="9"/>
            <color indexed="81"/>
            <rFont val="Tahoma"/>
            <family val="2"/>
          </rPr>
          <t xml:space="preserve">Jean-Claude RIOU:
</t>
        </r>
        <r>
          <rPr>
            <sz val="9"/>
            <color indexed="81"/>
            <rFont val="Tahoma"/>
            <family val="2"/>
          </rPr>
          <t xml:space="preserve">
Rajouter reliquat 2019</t>
        </r>
      </text>
    </comment>
  </commentList>
</comments>
</file>

<file path=xl/comments3.xml><?xml version="1.0" encoding="utf-8"?>
<comments xmlns="http://schemas.openxmlformats.org/spreadsheetml/2006/main">
  <authors>
    <author>Jean-Claude RIOU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Jean-Claude RIOU:</t>
        </r>
        <r>
          <rPr>
            <sz val="9"/>
            <color indexed="81"/>
            <rFont val="Tahoma"/>
            <family val="2"/>
          </rPr>
          <t xml:space="preserve">
Ce calcul retire automatiquement les jours fériés de l'année demandée dans tous les décomptes...</t>
        </r>
      </text>
    </comment>
    <comment ref="K59" authorId="0">
      <text>
        <r>
          <rPr>
            <b/>
            <sz val="9"/>
            <color indexed="81"/>
            <rFont val="Tahoma"/>
            <family val="2"/>
          </rPr>
          <t>Jean-Claude RIOU:</t>
        </r>
        <r>
          <rPr>
            <sz val="9"/>
            <color indexed="81"/>
            <rFont val="Tahoma"/>
            <family val="2"/>
          </rPr>
          <t xml:space="preserve">
Je devais être en récup et j'ai travaillé (pas vu la feuille)</t>
        </r>
      </text>
    </comment>
  </commentList>
</comments>
</file>

<file path=xl/comments4.xml><?xml version="1.0" encoding="utf-8"?>
<comments xmlns="http://schemas.openxmlformats.org/spreadsheetml/2006/main">
  <authors>
    <author>Utilisateur</author>
  </authors>
  <commentList>
    <comment ref="O1" authorId="0">
      <text>
        <r>
          <rPr>
            <b/>
            <sz val="12"/>
            <color indexed="81"/>
            <rFont val="Tahoma"/>
            <family val="2"/>
          </rPr>
          <t xml:space="preserve">JCR :
</t>
        </r>
        <r>
          <rPr>
            <sz val="12"/>
            <color indexed="81"/>
            <rFont val="Tahoma"/>
            <family val="2"/>
          </rPr>
          <t xml:space="preserve">
Dans cet onglet, toutes les cellules sont modifiables et </t>
        </r>
        <r>
          <rPr>
            <b/>
            <sz val="12"/>
            <color indexed="81"/>
            <rFont val="Tahoma"/>
            <family val="2"/>
          </rPr>
          <t>impactes automatiquement</t>
        </r>
        <r>
          <rPr>
            <sz val="12"/>
            <color indexed="81"/>
            <rFont val="Tahoma"/>
            <family val="2"/>
          </rPr>
          <t xml:space="preserve"> les autres feuilles...</t>
        </r>
      </text>
    </comment>
  </commentList>
</comments>
</file>

<file path=xl/comments5.xml><?xml version="1.0" encoding="utf-8"?>
<comments xmlns="http://schemas.openxmlformats.org/spreadsheetml/2006/main">
  <authors>
    <author>Jean-Claude RIOU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Jean-Claude RIOU:</t>
        </r>
        <r>
          <rPr>
            <sz val="9"/>
            <color indexed="81"/>
            <rFont val="Tahoma"/>
            <family val="2"/>
          </rPr>
          <t xml:space="preserve">
Ce calcul retire automatiquement les jours fériés de l'année demandée dans le décompte des CP...</t>
        </r>
      </text>
    </comment>
  </commentList>
</comments>
</file>

<file path=xl/sharedStrings.xml><?xml version="1.0" encoding="utf-8"?>
<sst xmlns="http://schemas.openxmlformats.org/spreadsheetml/2006/main" count="1329" uniqueCount="187">
  <si>
    <t>M</t>
  </si>
  <si>
    <t>RTT</t>
  </si>
  <si>
    <t>RETARD</t>
  </si>
  <si>
    <t>MALADIE</t>
  </si>
  <si>
    <t>Nom</t>
  </si>
  <si>
    <t>Type</t>
  </si>
  <si>
    <t>Date début</t>
  </si>
  <si>
    <t>Date de fin</t>
  </si>
  <si>
    <t>Maladie</t>
  </si>
  <si>
    <t>Récup</t>
  </si>
  <si>
    <t>Symbole</t>
  </si>
  <si>
    <t>Start</t>
  </si>
  <si>
    <t>Stop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</si>
  <si>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</si>
  <si>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</si>
  <si>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</si>
  <si>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</si>
  <si>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</si>
  <si>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</si>
  <si>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</si>
  <si>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</si>
  <si>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</si>
  <si>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</si>
  <si>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</si>
  <si>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</si>
  <si>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Accepté</t>
  </si>
  <si>
    <t>OUI</t>
  </si>
  <si>
    <t>Congés Payés</t>
  </si>
  <si>
    <t>CP</t>
  </si>
  <si>
    <t>Accident Travail</t>
  </si>
  <si>
    <t>AT</t>
  </si>
  <si>
    <t>Evèn.Spéciaux</t>
  </si>
  <si>
    <t>ES</t>
  </si>
  <si>
    <t>P</t>
  </si>
  <si>
    <t>Retard</t>
  </si>
  <si>
    <t>R</t>
  </si>
  <si>
    <t>Congés Parental</t>
  </si>
  <si>
    <t>Journée</t>
  </si>
  <si>
    <t>Agents</t>
  </si>
  <si>
    <t>CP ACQUIS</t>
  </si>
  <si>
    <t>NOM PRENOM AGENT</t>
  </si>
  <si>
    <t>CP PRIS</t>
  </si>
  <si>
    <t>SOLDE CP</t>
  </si>
  <si>
    <t>C. PARENTAL</t>
  </si>
  <si>
    <t>EVEN. SPEC.</t>
  </si>
  <si>
    <t>RECUP</t>
  </si>
  <si>
    <t>ACC. TRAV.</t>
  </si>
  <si>
    <t>FÊTES NATIONALES ANNÉE</t>
  </si>
  <si>
    <t>DEBUT DE MOIS</t>
  </si>
  <si>
    <t>FIN DE MOIS</t>
  </si>
  <si>
    <t>NBR JOURS OUVRES ET FERIES</t>
  </si>
  <si>
    <t>NBR JOURS OUVRES SANS FERIES</t>
  </si>
  <si>
    <t>1er janvier : jour de l'an ou nouvel an</t>
  </si>
  <si>
    <t>1er mai : fête du travail</t>
  </si>
  <si>
    <t>8 mai : Fin de la Seconde Guerre mondiale en Europe</t>
  </si>
  <si>
    <t>14 juillet : Fête national française</t>
  </si>
  <si>
    <t>11 nov. : Armistice de la première Guerre Mondiale</t>
  </si>
  <si>
    <t>Dimanche de Pâques</t>
  </si>
  <si>
    <t>Date variable : lundi de Pâques (1 jour après Pâques)</t>
  </si>
  <si>
    <t>Date variable : Jeudi de l'Ascension (39 jours après Pâques)</t>
  </si>
  <si>
    <t>Date variable : lundi de Pentecôte (50 jour après Pâques)</t>
  </si>
  <si>
    <t>15 août : Assomption</t>
  </si>
  <si>
    <t>1er nov. : La Toussaint</t>
  </si>
  <si>
    <t>25 déc. : Noël</t>
  </si>
  <si>
    <t>NBRE JOURS ANNÉE</t>
  </si>
  <si>
    <t>NBRE JOURS OUVRES</t>
  </si>
  <si>
    <t>(Y COMPRIS FÉRIÉS)</t>
  </si>
  <si>
    <t>(SANS LES FÉRIÉS)</t>
  </si>
  <si>
    <t>NBRE WEEK-END</t>
  </si>
  <si>
    <t>NBRE JOURS FÉRIÉS</t>
  </si>
  <si>
    <t>(HORS WEEK-END)</t>
  </si>
  <si>
    <t>JF</t>
  </si>
  <si>
    <t>MOIS</t>
  </si>
  <si>
    <t>NBRE JF</t>
  </si>
  <si>
    <t>Mois</t>
  </si>
  <si>
    <t>Février</t>
  </si>
  <si>
    <t>au</t>
  </si>
  <si>
    <t>Du</t>
  </si>
  <si>
    <t>1er</t>
  </si>
  <si>
    <t>DATE ENTREE</t>
  </si>
  <si>
    <t>DATE SORTIE</t>
  </si>
  <si>
    <t>Année</t>
  </si>
  <si>
    <t>Jean-Claude RIOU</t>
  </si>
  <si>
    <t>Agence</t>
  </si>
  <si>
    <t>Allotub</t>
  </si>
  <si>
    <t>Atelier</t>
  </si>
  <si>
    <t>Atelier / Informatique</t>
  </si>
  <si>
    <t>Informatique</t>
  </si>
  <si>
    <t>Jour travaillé</t>
  </si>
  <si>
    <t>JT</t>
  </si>
  <si>
    <t>AG</t>
  </si>
  <si>
    <t>AB</t>
  </si>
  <si>
    <t>AR</t>
  </si>
  <si>
    <t>AIF</t>
  </si>
  <si>
    <t>INF</t>
  </si>
  <si>
    <t>Nbre jours concernés</t>
  </si>
  <si>
    <r>
      <rPr>
        <b/>
        <sz val="11"/>
        <rFont val="Calibri"/>
        <family val="2"/>
        <scheme val="minor"/>
      </rPr>
      <t xml:space="preserve">TOTAL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ccident du </t>
    </r>
    <r>
      <rPr>
        <b/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ravail</t>
    </r>
  </si>
  <si>
    <r>
      <rPr>
        <b/>
        <sz val="11"/>
        <rFont val="Calibri"/>
        <family val="2"/>
        <scheme val="minor"/>
      </rPr>
      <t xml:space="preserve">TOTAL </t>
    </r>
    <r>
      <rPr>
        <b/>
        <sz val="11"/>
        <color rgb="FFFF0000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ence</t>
    </r>
  </si>
  <si>
    <r>
      <rPr>
        <b/>
        <sz val="11"/>
        <rFont val="Calibri"/>
        <family val="2"/>
        <scheme val="minor"/>
      </rPr>
      <t>TOTAL</t>
    </r>
    <r>
      <rPr>
        <b/>
        <sz val="11"/>
        <color rgb="FFFF0000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>llotu</t>
    </r>
    <r>
      <rPr>
        <b/>
        <sz val="11"/>
        <color rgb="FFFF0000"/>
        <rFont val="Calibri"/>
        <family val="2"/>
        <scheme val="minor"/>
      </rPr>
      <t>B</t>
    </r>
  </si>
  <si>
    <r>
      <rPr>
        <b/>
        <sz val="11"/>
        <rFont val="Calibri"/>
        <family val="2"/>
        <scheme val="minor"/>
      </rPr>
      <t xml:space="preserve">TOTAL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telie</t>
    </r>
    <r>
      <rPr>
        <b/>
        <sz val="11"/>
        <color rgb="FFFF0000"/>
        <rFont val="Calibri"/>
        <family val="2"/>
        <scheme val="minor"/>
      </rPr>
      <t>R</t>
    </r>
  </si>
  <si>
    <r>
      <t>TOTAL</t>
    </r>
    <r>
      <rPr>
        <b/>
        <sz val="11"/>
        <color rgb="FFFF0000"/>
        <rFont val="Calibri"/>
        <family val="2"/>
        <scheme val="minor"/>
      </rPr>
      <t xml:space="preserve"> F</t>
    </r>
    <r>
      <rPr>
        <b/>
        <sz val="11"/>
        <rFont val="Calibri"/>
        <family val="2"/>
        <scheme val="minor"/>
      </rPr>
      <t>érié</t>
    </r>
  </si>
  <si>
    <t>Conduite</t>
  </si>
  <si>
    <t>CDT</t>
  </si>
  <si>
    <t>Nbre heures</t>
  </si>
  <si>
    <r>
      <rPr>
        <b/>
        <sz val="10.5"/>
        <color theme="1"/>
        <rFont val="Calibri"/>
        <family val="2"/>
        <scheme val="minor"/>
      </rPr>
      <t xml:space="preserve">TOTAL </t>
    </r>
    <r>
      <rPr>
        <b/>
        <sz val="10.5"/>
        <color rgb="FFFF0000"/>
        <rFont val="Calibri"/>
        <family val="2"/>
        <scheme val="minor"/>
      </rPr>
      <t>C</t>
    </r>
    <r>
      <rPr>
        <sz val="10.5"/>
        <color theme="1"/>
        <rFont val="Calibri"/>
        <family val="2"/>
        <scheme val="minor"/>
      </rPr>
      <t>on</t>
    </r>
    <r>
      <rPr>
        <b/>
        <sz val="10.5"/>
        <color rgb="FFFF0000"/>
        <rFont val="Calibri"/>
        <family val="2"/>
        <scheme val="minor"/>
      </rPr>
      <t>D</t>
    </r>
    <r>
      <rPr>
        <sz val="10.5"/>
        <color theme="1"/>
        <rFont val="Calibri"/>
        <family val="2"/>
        <scheme val="minor"/>
      </rPr>
      <t>ui</t>
    </r>
    <r>
      <rPr>
        <b/>
        <sz val="10.5"/>
        <color rgb="FFFF0000"/>
        <rFont val="Calibri"/>
        <family val="2"/>
        <scheme val="minor"/>
      </rPr>
      <t>T</t>
    </r>
    <r>
      <rPr>
        <sz val="10.5"/>
        <color theme="1"/>
        <rFont val="Calibri"/>
        <family val="2"/>
        <scheme val="minor"/>
      </rPr>
      <t>e</t>
    </r>
  </si>
  <si>
    <r>
      <t xml:space="preserve">TOTAL </t>
    </r>
    <r>
      <rPr>
        <sz val="11"/>
        <rFont val="Calibri"/>
        <family val="2"/>
        <scheme val="minor"/>
      </rPr>
      <t>Congés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arental</t>
    </r>
  </si>
  <si>
    <r>
      <rPr>
        <b/>
        <sz val="11"/>
        <rFont val="Calibri"/>
        <family val="2"/>
        <scheme val="minor"/>
      </rPr>
      <t>TOTAL</t>
    </r>
    <r>
      <rPr>
        <b/>
        <sz val="11"/>
        <color rgb="FFFF0000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>telier/</t>
    </r>
    <r>
      <rPr>
        <b/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ormatique</t>
    </r>
  </si>
  <si>
    <r>
      <t xml:space="preserve">TOTAL </t>
    </r>
    <r>
      <rPr>
        <b/>
        <sz val="11"/>
        <color rgb="FFFF0000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ongés </t>
    </r>
    <r>
      <rPr>
        <b/>
        <sz val="11"/>
        <color rgb="FFFF0000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ayés</t>
    </r>
  </si>
  <si>
    <r>
      <t xml:space="preserve">TOTAL </t>
    </r>
    <r>
      <rPr>
        <b/>
        <sz val="11"/>
        <color rgb="FFFF0000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vènements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péciaux</t>
    </r>
  </si>
  <si>
    <r>
      <rPr>
        <b/>
        <sz val="11"/>
        <rFont val="Calibri"/>
        <family val="2"/>
        <scheme val="minor"/>
      </rPr>
      <t>TOTAL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INF</t>
    </r>
    <r>
      <rPr>
        <sz val="11"/>
        <rFont val="Calibri"/>
        <family val="2"/>
        <scheme val="minor"/>
      </rPr>
      <t>ormatique</t>
    </r>
  </si>
  <si>
    <r>
      <rPr>
        <b/>
        <sz val="11"/>
        <rFont val="Calibri"/>
        <family val="2"/>
        <scheme val="minor"/>
      </rPr>
      <t xml:space="preserve">TOTAL </t>
    </r>
    <r>
      <rPr>
        <b/>
        <sz val="11"/>
        <color rgb="FFFF0000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aladie</t>
    </r>
  </si>
  <si>
    <r>
      <t xml:space="preserve">TOTAL </t>
    </r>
    <r>
      <rPr>
        <sz val="11"/>
        <rFont val="Calibri"/>
        <family val="2"/>
        <scheme val="minor"/>
      </rPr>
      <t xml:space="preserve">Récup </t>
    </r>
    <r>
      <rPr>
        <b/>
        <sz val="11"/>
        <color rgb="FFFF0000"/>
        <rFont val="Calibri"/>
        <family val="2"/>
        <scheme val="minor"/>
      </rPr>
      <t>RTT</t>
    </r>
  </si>
  <si>
    <r>
      <rPr>
        <b/>
        <sz val="11"/>
        <rFont val="Calibri"/>
        <family val="2"/>
        <scheme val="minor"/>
      </rPr>
      <t xml:space="preserve">TOTAL </t>
    </r>
    <r>
      <rPr>
        <b/>
        <sz val="11"/>
        <color rgb="FFFF0000"/>
        <rFont val="Calibri"/>
        <family val="2"/>
        <scheme val="minor"/>
      </rPr>
      <t>R</t>
    </r>
    <r>
      <rPr>
        <sz val="11"/>
        <rFont val="Calibri"/>
        <family val="2"/>
        <scheme val="minor"/>
      </rPr>
      <t>etard</t>
    </r>
  </si>
  <si>
    <t>Repos</t>
  </si>
  <si>
    <t>REP</t>
  </si>
  <si>
    <t>Jour Solidarité</t>
  </si>
  <si>
    <t>JSOLID</t>
  </si>
  <si>
    <r>
      <t xml:space="preserve">TOTAL </t>
    </r>
    <r>
      <rPr>
        <b/>
        <sz val="11"/>
        <color rgb="FFFF0000"/>
        <rFont val="Calibri"/>
        <family val="2"/>
        <scheme val="minor"/>
      </rPr>
      <t>REP</t>
    </r>
    <r>
      <rPr>
        <b/>
        <sz val="11"/>
        <rFont val="Calibri"/>
        <family val="2"/>
        <scheme val="minor"/>
      </rPr>
      <t>os</t>
    </r>
  </si>
  <si>
    <t>https://www.youtube.com/watch?v=dXgRl40cd0I</t>
  </si>
  <si>
    <r>
      <t xml:space="preserve">TOTAL </t>
    </r>
    <r>
      <rPr>
        <b/>
        <sz val="11"/>
        <color rgb="FFFF0000"/>
        <rFont val="Calibri"/>
        <family val="2"/>
        <scheme val="minor"/>
      </rPr>
      <t>JSO</t>
    </r>
    <r>
      <rPr>
        <b/>
        <sz val="11"/>
        <rFont val="Calibri"/>
        <family val="2"/>
        <scheme val="minor"/>
      </rPr>
      <t>LID</t>
    </r>
  </si>
  <si>
    <t>JSO</t>
  </si>
  <si>
    <t>8:30-12:30 / 14:00-18:00</t>
  </si>
  <si>
    <t>AGENCE</t>
  </si>
  <si>
    <t>ALLOTUB</t>
  </si>
  <si>
    <t>ATELIER</t>
  </si>
  <si>
    <t>ATE / INF</t>
  </si>
  <si>
    <t>CONDUITE</t>
  </si>
  <si>
    <t>INFORM</t>
  </si>
  <si>
    <t>JOUR SOLID</t>
  </si>
  <si>
    <t>REPOS</t>
  </si>
  <si>
    <t>Détail Heures</t>
  </si>
  <si>
    <t>Heures Ate</t>
  </si>
  <si>
    <t>Heures Info</t>
  </si>
  <si>
    <t>HEURES EN INFORMATIQUE</t>
  </si>
  <si>
    <t>HEURES A L'ATELIER</t>
  </si>
  <si>
    <t>(08:30-12:30 / 14:00-17:30) x 5 jours</t>
  </si>
  <si>
    <t>SOMMEPROD(([Nom]=[@Nom]*([Type]="Informatique")*([Départ M])-([Arrivée M])))</t>
  </si>
  <si>
    <t>08:00-12:00 / 14:00-18:00</t>
  </si>
  <si>
    <t>08:00-12:30 / 14:00-18:00</t>
  </si>
  <si>
    <t>08:00-12:30 / 14:00-18:30</t>
  </si>
  <si>
    <t>08:00-12:30 / 14:00-18:45</t>
  </si>
  <si>
    <t>BAIE D'ARMOR TRANSPORTS</t>
  </si>
  <si>
    <t>DATE :</t>
  </si>
  <si>
    <r>
      <t>NOM AGENT</t>
    </r>
    <r>
      <rPr>
        <b/>
        <sz val="11"/>
        <color theme="1"/>
        <rFont val="Bahnschrift Light"/>
        <family val="2"/>
      </rPr>
      <t xml:space="preserve"> :</t>
    </r>
  </si>
  <si>
    <t>RIOU Jean-Claude</t>
  </si>
  <si>
    <t>SERVICE</t>
  </si>
  <si>
    <t>NATURE DES TRAVAUX</t>
  </si>
  <si>
    <t>Heure Début</t>
  </si>
  <si>
    <t>Heure Fin</t>
  </si>
  <si>
    <t>Temps (en 1/100)</t>
  </si>
  <si>
    <t>INFORMATIQUE</t>
  </si>
  <si>
    <t>Saisie Informatique Atelier</t>
  </si>
  <si>
    <t>Travaux divers informatique</t>
  </si>
  <si>
    <t>CUMUL ATELIER</t>
  </si>
  <si>
    <t>CUMUL INFORMATIQUE</t>
  </si>
  <si>
    <t>TOTAL DES HEURES DE LA JOURNÉE</t>
  </si>
  <si>
    <t>Services</t>
  </si>
  <si>
    <t>Horaires</t>
  </si>
  <si>
    <t>Travaux</t>
  </si>
  <si>
    <t>AUTRES</t>
  </si>
  <si>
    <t>CUMUL SEMAINE</t>
  </si>
  <si>
    <t>Semaine</t>
  </si>
  <si>
    <r>
      <rPr>
        <b/>
        <sz val="11"/>
        <color theme="1"/>
        <rFont val="Bahnschrift Light"/>
        <family val="2"/>
      </rPr>
      <t xml:space="preserve">                                                             </t>
    </r>
    <r>
      <rPr>
        <b/>
        <u/>
        <sz val="11"/>
        <color theme="1"/>
        <rFont val="Bahnschrift Light"/>
        <family val="2"/>
      </rPr>
      <t>FICHE INDIVIDUELLE DE TRAVAIL</t>
    </r>
  </si>
  <si>
    <t>CHCV 19/5J</t>
  </si>
  <si>
    <t>Travaux divers informatique - Travaux BDD Parc Informatique</t>
  </si>
  <si>
    <t>Travaux divers informatique - Travaux BDD ROU'LIBRE</t>
  </si>
  <si>
    <t>Travaux divers informatique - Travaux logiciel Fraudes</t>
  </si>
  <si>
    <t>Travaux divers informatique - Travaux BDD ROU'LIBRE - Pr2sentation ROU'LIBRE</t>
  </si>
  <si>
    <t>OUV ALLO</t>
  </si>
  <si>
    <t>FERM ALLO</t>
  </si>
  <si>
    <t>RENF ALLO</t>
  </si>
  <si>
    <t>SA ALLOTUB</t>
  </si>
  <si>
    <t>FORM ALLO</t>
  </si>
  <si>
    <t>JC AGENCE</t>
  </si>
  <si>
    <t>RENTREE 1</t>
  </si>
  <si>
    <t>SA AGENCE</t>
  </si>
  <si>
    <t>JRA</t>
  </si>
  <si>
    <t>DISPO MARK</t>
  </si>
  <si>
    <t>PROMO TUB</t>
  </si>
  <si>
    <t>FORM AG</t>
  </si>
  <si>
    <t>H Services</t>
  </si>
  <si>
    <t>JCR</t>
  </si>
  <si>
    <t>Note explicative</t>
  </si>
  <si>
    <t>Ces services en revanche sont aléatoires et les heures doivent donc être saisis manuellement</t>
  </si>
  <si>
    <t>Seuls ces services doivent indiquer le nombre d'heures automatiquement via l'onglet 'LISTES'</t>
  </si>
  <si>
    <t>Malheureusement, dès lors que je choisi par exemple 'ATELIER' et que je saisis les heures de début</t>
  </si>
  <si>
    <t>et de fin, le calcul ne s'affiche pas. Si je supprime 'ATELIER', la somme s'affiche…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</si>
</sst>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d"/>
    <numFmt numFmtId="165" formatCode="mmmm"/>
    <numFmt numFmtId="166" formatCode="d"/>
    <numFmt numFmtId="167" formatCode="mmm"/>
    <numFmt numFmtId="168" formatCode="yyyy"/>
    <numFmt numFmtId="169" formatCode="[$-F800]dddd\,\ mmmm\ dd\,\ yyyy"/>
    <numFmt numFmtId="170" formatCode="h:mm;@"/>
  </numFmts>
  <fonts count="4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Bahnschrift Light"/>
      <family val="2"/>
    </font>
    <font>
      <i/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u/>
      <sz val="11"/>
      <color theme="1"/>
      <name val="Bahnschrift Light"/>
      <family val="2"/>
    </font>
    <font>
      <b/>
      <i/>
      <sz val="11"/>
      <color theme="1"/>
      <name val="Bahnschrift Light"/>
      <family val="2"/>
    </font>
    <font>
      <b/>
      <sz val="11"/>
      <color theme="4" tint="-0.249977111117893"/>
      <name val="Bahnschrift Light"/>
      <family val="2"/>
    </font>
    <font>
      <b/>
      <i/>
      <sz val="11"/>
      <color theme="0"/>
      <name val="Bahnschrift Light"/>
      <family val="2"/>
    </font>
    <font>
      <b/>
      <sz val="11"/>
      <color rgb="FFFF0000"/>
      <name val="Bahnschrift Light"/>
      <family val="2"/>
    </font>
    <font>
      <sz val="10"/>
      <color theme="1"/>
      <name val="Bahnschrift Light"/>
      <family val="2"/>
    </font>
    <font>
      <sz val="10"/>
      <color theme="0"/>
      <name val="Bahnschrift Light"/>
      <family val="2"/>
    </font>
    <font>
      <b/>
      <i/>
      <u/>
      <sz val="10"/>
      <color theme="1"/>
      <name val="Bahnschrift Light"/>
      <family val="2"/>
    </font>
    <font>
      <b/>
      <sz val="11"/>
      <color theme="0"/>
      <name val="Bahnschrift Light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gradientFill>
        <stop position="0">
          <color rgb="FF92D050"/>
        </stop>
        <stop position="0.5">
          <color rgb="FFFFFF00"/>
        </stop>
        <stop position="1">
          <color rgb="FF92D050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4B08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rgb="FF8497B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E699"/>
        <bgColor indexed="64"/>
      </patternFill>
    </fill>
    <fill>
      <patternFill patternType="lightGray"/>
    </fill>
    <fill>
      <patternFill patternType="solid">
        <fgColor theme="4" tint="0.79998168889431442"/>
        <bgColor theme="4" tint="0.79998168889431442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5" fillId="0" borderId="34" applyNumberFormat="0" applyFill="0" applyAlignment="0" applyProtection="0"/>
    <xf numFmtId="0" fontId="34" fillId="0" borderId="0" applyNumberFormat="0" applyFill="0" applyBorder="0" applyAlignment="0" applyProtection="0"/>
  </cellStyleXfs>
  <cellXfs count="291">
    <xf numFmtId="0" fontId="0" fillId="0" borderId="0" xfId="0"/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8" fillId="14" borderId="28" xfId="3" applyBorder="1" applyAlignment="1">
      <alignment horizontal="left"/>
    </xf>
    <xf numFmtId="0" fontId="8" fillId="14" borderId="29" xfId="3" applyBorder="1"/>
    <xf numFmtId="0" fontId="9" fillId="0" borderId="0" xfId="0" applyFont="1"/>
    <xf numFmtId="0" fontId="8" fillId="14" borderId="27" xfId="3" applyBorder="1" applyAlignment="1">
      <alignment horizontal="center"/>
    </xf>
    <xf numFmtId="0" fontId="8" fillId="14" borderId="28" xfId="3" applyBorder="1" applyAlignment="1">
      <alignment horizontal="center"/>
    </xf>
    <xf numFmtId="0" fontId="8" fillId="14" borderId="29" xfId="3" applyBorder="1" applyAlignment="1">
      <alignment horizontal="center"/>
    </xf>
    <xf numFmtId="14" fontId="6" fillId="12" borderId="3" xfId="1" applyNumberFormat="1" applyBorder="1"/>
    <xf numFmtId="14" fontId="6" fillId="12" borderId="1" xfId="1" applyNumberFormat="1" applyBorder="1" applyAlignment="1">
      <alignment horizontal="center"/>
    </xf>
    <xf numFmtId="14" fontId="6" fillId="12" borderId="2" xfId="1" applyNumberFormat="1" applyBorder="1" applyAlignment="1">
      <alignment horizontal="center"/>
    </xf>
    <xf numFmtId="0" fontId="6" fillId="12" borderId="3" xfId="1" applyNumberFormat="1" applyBorder="1" applyAlignment="1">
      <alignment horizontal="center"/>
    </xf>
    <xf numFmtId="14" fontId="6" fillId="12" borderId="7" xfId="1" applyNumberFormat="1" applyBorder="1"/>
    <xf numFmtId="14" fontId="6" fillId="12" borderId="5" xfId="1" applyNumberFormat="1" applyBorder="1" applyAlignment="1">
      <alignment horizontal="center"/>
    </xf>
    <xf numFmtId="14" fontId="6" fillId="12" borderId="0" xfId="1" applyNumberFormat="1" applyBorder="1" applyAlignment="1">
      <alignment horizontal="center"/>
    </xf>
    <xf numFmtId="0" fontId="6" fillId="12" borderId="7" xfId="1" applyNumberFormat="1" applyBorder="1" applyAlignment="1">
      <alignment horizontal="center"/>
    </xf>
    <xf numFmtId="14" fontId="6" fillId="12" borderId="37" xfId="1" applyNumberFormat="1" applyBorder="1"/>
    <xf numFmtId="14" fontId="9" fillId="0" borderId="0" xfId="0" applyNumberFormat="1" applyFont="1"/>
    <xf numFmtId="14" fontId="6" fillId="12" borderId="35" xfId="1" applyNumberFormat="1" applyBorder="1" applyAlignment="1">
      <alignment horizontal="center"/>
    </xf>
    <xf numFmtId="14" fontId="6" fillId="12" borderId="36" xfId="1" applyNumberFormat="1" applyBorder="1" applyAlignment="1">
      <alignment horizontal="center"/>
    </xf>
    <xf numFmtId="0" fontId="6" fillId="12" borderId="37" xfId="1" applyNumberFormat="1" applyBorder="1" applyAlignment="1">
      <alignment horizontal="center"/>
    </xf>
    <xf numFmtId="0" fontId="10" fillId="13" borderId="27" xfId="2" applyFont="1" applyBorder="1" applyAlignment="1">
      <alignment horizontal="center"/>
    </xf>
    <xf numFmtId="0" fontId="10" fillId="13" borderId="28" xfId="2" applyFont="1" applyBorder="1" applyAlignment="1">
      <alignment horizontal="center"/>
    </xf>
    <xf numFmtId="0" fontId="10" fillId="13" borderId="29" xfId="2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6" fillId="12" borderId="1" xfId="1" applyBorder="1" applyAlignment="1">
      <alignment horizontal="center"/>
    </xf>
    <xf numFmtId="0" fontId="6" fillId="12" borderId="2" xfId="1" applyBorder="1" applyAlignment="1">
      <alignment horizontal="left"/>
    </xf>
    <xf numFmtId="0" fontId="12" fillId="12" borderId="3" xfId="1" applyFont="1" applyBorder="1" applyAlignment="1">
      <alignment horizontal="center"/>
    </xf>
    <xf numFmtId="0" fontId="7" fillId="13" borderId="27" xfId="2" applyBorder="1" applyAlignment="1">
      <alignment horizontal="center"/>
    </xf>
    <xf numFmtId="0" fontId="13" fillId="13" borderId="28" xfId="2" applyFont="1" applyBorder="1" applyAlignment="1">
      <alignment horizontal="center"/>
    </xf>
    <xf numFmtId="0" fontId="11" fillId="0" borderId="38" xfId="0" applyFont="1" applyBorder="1"/>
    <xf numFmtId="0" fontId="15" fillId="0" borderId="0" xfId="0" applyFont="1" applyAlignment="1">
      <alignment horizontal="center"/>
    </xf>
    <xf numFmtId="166" fontId="9" fillId="0" borderId="4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9" fillId="8" borderId="0" xfId="0" applyFont="1" applyFill="1" applyBorder="1"/>
    <xf numFmtId="0" fontId="9" fillId="8" borderId="0" xfId="0" applyFont="1" applyFill="1" applyBorder="1" applyAlignment="1">
      <alignment horizontal="center"/>
    </xf>
    <xf numFmtId="0" fontId="16" fillId="8" borderId="0" xfId="0" applyFont="1" applyFill="1" applyBorder="1"/>
    <xf numFmtId="0" fontId="16" fillId="8" borderId="0" xfId="0" applyFont="1" applyFill="1" applyBorder="1" applyAlignment="1"/>
    <xf numFmtId="16" fontId="9" fillId="8" borderId="0" xfId="0" applyNumberFormat="1" applyFont="1" applyFill="1" applyBorder="1"/>
    <xf numFmtId="0" fontId="9" fillId="8" borderId="0" xfId="0" applyFont="1" applyFill="1" applyBorder="1" applyAlignment="1">
      <alignment horizontal="left"/>
    </xf>
    <xf numFmtId="15" fontId="9" fillId="8" borderId="0" xfId="0" applyNumberFormat="1" applyFont="1" applyFill="1" applyBorder="1" applyAlignment="1">
      <alignment horizontal="center"/>
    </xf>
    <xf numFmtId="0" fontId="16" fillId="8" borderId="0" xfId="0" applyFont="1" applyFill="1" applyBorder="1" applyAlignment="1">
      <alignment horizontal="left"/>
    </xf>
    <xf numFmtId="14" fontId="9" fillId="8" borderId="0" xfId="0" applyNumberFormat="1" applyFont="1" applyFill="1" applyBorder="1"/>
    <xf numFmtId="0" fontId="16" fillId="8" borderId="0" xfId="0" applyFont="1" applyFill="1" applyBorder="1" applyAlignment="1">
      <alignment horizontal="right"/>
    </xf>
    <xf numFmtId="14" fontId="9" fillId="8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6" fillId="12" borderId="29" xfId="1" applyNumberFormat="1" applyBorder="1"/>
    <xf numFmtId="0" fontId="16" fillId="8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9" fillId="16" borderId="0" xfId="0" applyFont="1" applyFill="1" applyAlignment="1">
      <alignment horizontal="center"/>
    </xf>
    <xf numFmtId="0" fontId="9" fillId="17" borderId="0" xfId="0" applyFont="1" applyFill="1" applyAlignment="1">
      <alignment horizontal="center"/>
    </xf>
    <xf numFmtId="0" fontId="9" fillId="16" borderId="0" xfId="0" applyNumberFormat="1" applyFont="1" applyFill="1" applyAlignment="1">
      <alignment horizontal="center"/>
    </xf>
    <xf numFmtId="0" fontId="5" fillId="0" borderId="19" xfId="0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0" fontId="5" fillId="0" borderId="0" xfId="0" applyFont="1"/>
    <xf numFmtId="165" fontId="5" fillId="0" borderId="32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horizontal="center" vertical="center"/>
    </xf>
    <xf numFmtId="0" fontId="22" fillId="18" borderId="30" xfId="0" applyFont="1" applyFill="1" applyBorder="1" applyAlignment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23" fillId="19" borderId="30" xfId="0" applyFont="1" applyFill="1" applyBorder="1" applyAlignment="1" applyProtection="1">
      <alignment horizontal="center"/>
    </xf>
    <xf numFmtId="14" fontId="23" fillId="19" borderId="3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9" borderId="31" xfId="0" applyFont="1" applyFill="1" applyBorder="1" applyAlignment="1">
      <alignment horizontal="center"/>
    </xf>
    <xf numFmtId="0" fontId="23" fillId="19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23" fillId="19" borderId="32" xfId="0" applyFont="1" applyFill="1" applyBorder="1" applyAlignment="1" applyProtection="1">
      <alignment horizontal="center"/>
    </xf>
    <xf numFmtId="0" fontId="24" fillId="19" borderId="31" xfId="0" applyFont="1" applyFill="1" applyBorder="1" applyAlignment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25" fillId="0" borderId="31" xfId="0" applyFont="1" applyFill="1" applyBorder="1" applyAlignment="1">
      <alignment horizontal="center"/>
    </xf>
    <xf numFmtId="0" fontId="22" fillId="18" borderId="31" xfId="0" applyFont="1" applyFill="1" applyBorder="1" applyAlignment="1">
      <alignment horizontal="center"/>
    </xf>
    <xf numFmtId="0" fontId="22" fillId="18" borderId="32" xfId="0" applyFont="1" applyFill="1" applyBorder="1" applyAlignment="1">
      <alignment horizontal="center"/>
    </xf>
    <xf numFmtId="0" fontId="23" fillId="19" borderId="3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3" fillId="8" borderId="0" xfId="0" applyFont="1" applyFill="1" applyBorder="1" applyAlignment="1" applyProtection="1">
      <alignment vertical="center"/>
    </xf>
    <xf numFmtId="0" fontId="0" fillId="8" borderId="0" xfId="0" applyFill="1" applyProtection="1"/>
    <xf numFmtId="0" fontId="3" fillId="8" borderId="0" xfId="0" applyFont="1" applyFill="1" applyBorder="1" applyAlignment="1" applyProtection="1">
      <alignment horizontal="center" vertical="center"/>
    </xf>
    <xf numFmtId="0" fontId="1" fillId="9" borderId="3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25" borderId="30" xfId="0" applyFont="1" applyFill="1" applyBorder="1" applyAlignment="1" applyProtection="1">
      <alignment horizontal="center"/>
    </xf>
    <xf numFmtId="0" fontId="1" fillId="26" borderId="3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8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19" fillId="24" borderId="0" xfId="0" applyFont="1" applyFill="1" applyBorder="1" applyAlignment="1" applyProtection="1">
      <alignment horizontal="center"/>
    </xf>
    <xf numFmtId="0" fontId="1" fillId="28" borderId="30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center"/>
    </xf>
    <xf numFmtId="0" fontId="19" fillId="29" borderId="30" xfId="0" applyFont="1" applyFill="1" applyBorder="1" applyAlignment="1" applyProtection="1">
      <alignment horizontal="center"/>
    </xf>
    <xf numFmtId="0" fontId="1" fillId="30" borderId="30" xfId="0" applyFont="1" applyFill="1" applyBorder="1" applyAlignment="1" applyProtection="1">
      <alignment horizontal="center"/>
    </xf>
    <xf numFmtId="0" fontId="1" fillId="7" borderId="30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10" borderId="30" xfId="0" applyFont="1" applyFill="1" applyBorder="1" applyAlignment="1" applyProtection="1">
      <alignment horizontal="center"/>
    </xf>
    <xf numFmtId="0" fontId="19" fillId="15" borderId="3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 textRotation="90"/>
    </xf>
    <xf numFmtId="14" fontId="0" fillId="0" borderId="0" xfId="0" applyNumberFormat="1" applyProtection="1"/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0" fontId="1" fillId="9" borderId="0" xfId="0" applyFont="1" applyFill="1" applyAlignment="1" applyProtection="1">
      <alignment horizontal="center"/>
    </xf>
    <xf numFmtId="0" fontId="1" fillId="25" borderId="0" xfId="0" applyFont="1" applyFill="1" applyAlignment="1" applyProtection="1">
      <alignment horizontal="center"/>
    </xf>
    <xf numFmtId="0" fontId="1" fillId="26" borderId="0" xfId="0" applyFont="1" applyFill="1" applyAlignment="1" applyProtection="1">
      <alignment horizontal="center"/>
    </xf>
    <xf numFmtId="0" fontId="1" fillId="28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1" fillId="30" borderId="0" xfId="0" applyFont="1" applyFill="1" applyAlignment="1" applyProtection="1">
      <alignment horizontal="center"/>
    </xf>
    <xf numFmtId="0" fontId="1" fillId="7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10" borderId="0" xfId="0" applyFont="1" applyFill="1" applyAlignment="1" applyProtection="1">
      <alignment horizontal="center"/>
    </xf>
    <xf numFmtId="0" fontId="19" fillId="15" borderId="0" xfId="0" applyFont="1" applyFill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2" borderId="0" xfId="0" applyFont="1" applyFill="1" applyAlignment="1" applyProtection="1">
      <alignment horizontal="center"/>
    </xf>
    <xf numFmtId="0" fontId="1" fillId="23" borderId="0" xfId="0" applyFont="1" applyFill="1" applyAlignment="1" applyProtection="1">
      <alignment horizontal="center"/>
    </xf>
    <xf numFmtId="0" fontId="1" fillId="20" borderId="0" xfId="0" applyFont="1" applyFill="1" applyAlignment="1" applyProtection="1">
      <alignment horizontal="center"/>
    </xf>
    <xf numFmtId="0" fontId="1" fillId="21" borderId="0" xfId="0" applyFont="1" applyFill="1" applyAlignment="1" applyProtection="1">
      <alignment horizontal="center"/>
    </xf>
    <xf numFmtId="0" fontId="0" fillId="0" borderId="0" xfId="0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0" fontId="32" fillId="0" borderId="31" xfId="0" applyFont="1" applyBorder="1" applyAlignment="1" applyProtection="1"/>
    <xf numFmtId="0" fontId="32" fillId="0" borderId="32" xfId="0" applyFont="1" applyBorder="1" applyAlignment="1" applyProtection="1"/>
    <xf numFmtId="0" fontId="32" fillId="0" borderId="0" xfId="0" applyFont="1" applyBorder="1" applyAlignment="1" applyProtection="1"/>
    <xf numFmtId="0" fontId="32" fillId="0" borderId="24" xfId="0" applyFont="1" applyBorder="1" applyAlignment="1" applyProtection="1"/>
    <xf numFmtId="0" fontId="1" fillId="31" borderId="0" xfId="0" applyFont="1" applyFill="1" applyAlignment="1" applyProtection="1">
      <alignment horizontal="center"/>
    </xf>
    <xf numFmtId="0" fontId="1" fillId="31" borderId="30" xfId="0" applyFont="1" applyFill="1" applyBorder="1" applyAlignment="1" applyProtection="1">
      <alignment horizontal="center"/>
    </xf>
    <xf numFmtId="0" fontId="19" fillId="32" borderId="30" xfId="0" applyFont="1" applyFill="1" applyBorder="1" applyAlignment="1" applyProtection="1">
      <alignment horizontal="center"/>
    </xf>
    <xf numFmtId="0" fontId="1" fillId="32" borderId="0" xfId="0" applyFont="1" applyFill="1" applyAlignment="1" applyProtection="1">
      <alignment horizontal="center"/>
    </xf>
    <xf numFmtId="0" fontId="28" fillId="33" borderId="0" xfId="0" applyFont="1" applyFill="1" applyAlignment="1" applyProtection="1">
      <alignment horizontal="center"/>
    </xf>
    <xf numFmtId="0" fontId="34" fillId="0" borderId="0" xfId="5"/>
    <xf numFmtId="0" fontId="31" fillId="33" borderId="30" xfId="0" applyFont="1" applyFill="1" applyBorder="1" applyAlignment="1" applyProtection="1">
      <alignment horizontal="center"/>
    </xf>
    <xf numFmtId="0" fontId="1" fillId="19" borderId="30" xfId="0" applyFont="1" applyFill="1" applyBorder="1" applyAlignment="1" applyProtection="1">
      <alignment horizontal="center"/>
    </xf>
    <xf numFmtId="0" fontId="1" fillId="19" borderId="0" xfId="0" applyFont="1" applyFill="1" applyAlignment="1" applyProtection="1">
      <alignment horizontal="center"/>
    </xf>
    <xf numFmtId="0" fontId="0" fillId="27" borderId="0" xfId="0" applyFill="1" applyAlignment="1" applyProtection="1">
      <alignment horizontal="center"/>
      <protection locked="0"/>
    </xf>
    <xf numFmtId="0" fontId="23" fillId="19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2" fontId="0" fillId="0" borderId="0" xfId="0" applyNumberFormat="1" applyFill="1" applyAlignment="1" applyProtection="1">
      <alignment horizontal="center"/>
    </xf>
    <xf numFmtId="2" fontId="0" fillId="0" borderId="0" xfId="0" applyNumberFormat="1"/>
    <xf numFmtId="2" fontId="0" fillId="0" borderId="0" xfId="0" applyNumberFormat="1" applyFill="1" applyAlignment="1" applyProtection="1">
      <alignment horizontal="center"/>
      <protection locked="0"/>
    </xf>
    <xf numFmtId="0" fontId="36" fillId="0" borderId="43" xfId="0" applyFont="1" applyBorder="1" applyAlignment="1" applyProtection="1">
      <alignment horizontal="right"/>
    </xf>
    <xf numFmtId="0" fontId="37" fillId="0" borderId="0" xfId="0" applyFont="1" applyProtection="1"/>
    <xf numFmtId="0" fontId="38" fillId="0" borderId="43" xfId="0" applyFont="1" applyBorder="1" applyAlignment="1" applyProtection="1">
      <alignment horizontal="center"/>
    </xf>
    <xf numFmtId="0" fontId="43" fillId="0" borderId="0" xfId="0" applyFont="1" applyProtection="1"/>
    <xf numFmtId="2" fontId="44" fillId="0" borderId="49" xfId="0" applyNumberFormat="1" applyFont="1" applyBorder="1" applyAlignment="1" applyProtection="1">
      <alignment horizontal="center"/>
    </xf>
    <xf numFmtId="2" fontId="44" fillId="0" borderId="53" xfId="0" applyNumberFormat="1" applyFont="1" applyBorder="1" applyAlignment="1" applyProtection="1">
      <alignment horizontal="center"/>
    </xf>
    <xf numFmtId="2" fontId="44" fillId="0" borderId="54" xfId="0" applyNumberFormat="1" applyFont="1" applyBorder="1" applyAlignment="1" applyProtection="1">
      <alignment horizontal="center"/>
    </xf>
    <xf numFmtId="2" fontId="44" fillId="0" borderId="58" xfId="0" applyNumberFormat="1" applyFont="1" applyBorder="1" applyAlignment="1" applyProtection="1">
      <alignment horizontal="center"/>
    </xf>
    <xf numFmtId="2" fontId="41" fillId="0" borderId="49" xfId="0" applyNumberFormat="1" applyFont="1" applyBorder="1" applyAlignment="1" applyProtection="1">
      <alignment horizontal="center"/>
    </xf>
    <xf numFmtId="2" fontId="41" fillId="0" borderId="59" xfId="0" applyNumberFormat="1" applyFont="1" applyBorder="1" applyAlignment="1" applyProtection="1">
      <alignment horizontal="center"/>
    </xf>
    <xf numFmtId="0" fontId="37" fillId="34" borderId="67" xfId="0" applyFont="1" applyFill="1" applyBorder="1" applyAlignment="1" applyProtection="1">
      <alignment horizontal="center" vertical="center"/>
    </xf>
    <xf numFmtId="2" fontId="46" fillId="0" borderId="48" xfId="0" applyNumberFormat="1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43" fillId="0" borderId="49" xfId="0" applyFont="1" applyBorder="1" applyAlignment="1" applyProtection="1">
      <alignment horizontal="center"/>
      <protection locked="0"/>
    </xf>
    <xf numFmtId="170" fontId="43" fillId="0" borderId="49" xfId="0" applyNumberFormat="1" applyFont="1" applyBorder="1" applyAlignment="1" applyProtection="1">
      <alignment horizontal="center"/>
      <protection locked="0"/>
    </xf>
    <xf numFmtId="0" fontId="43" fillId="0" borderId="53" xfId="0" applyFont="1" applyBorder="1" applyAlignment="1" applyProtection="1">
      <alignment horizontal="center"/>
      <protection locked="0"/>
    </xf>
    <xf numFmtId="170" fontId="43" fillId="0" borderId="53" xfId="0" applyNumberFormat="1" applyFont="1" applyBorder="1" applyAlignment="1" applyProtection="1">
      <alignment horizontal="center"/>
      <protection locked="0"/>
    </xf>
    <xf numFmtId="0" fontId="43" fillId="0" borderId="54" xfId="0" applyFont="1" applyBorder="1" applyAlignment="1" applyProtection="1">
      <alignment horizontal="center"/>
      <protection locked="0"/>
    </xf>
    <xf numFmtId="170" fontId="43" fillId="0" borderId="54" xfId="0" applyNumberFormat="1" applyFont="1" applyBorder="1" applyAlignment="1" applyProtection="1">
      <alignment horizontal="center"/>
      <protection locked="0"/>
    </xf>
    <xf numFmtId="0" fontId="43" fillId="0" borderId="58" xfId="0" applyFont="1" applyBorder="1" applyAlignment="1" applyProtection="1">
      <alignment horizontal="center"/>
      <protection locked="0"/>
    </xf>
    <xf numFmtId="0" fontId="43" fillId="0" borderId="59" xfId="0" applyFont="1" applyBorder="1" applyAlignment="1" applyProtection="1">
      <alignment horizontal="center"/>
      <protection locked="0"/>
    </xf>
    <xf numFmtId="170" fontId="43" fillId="0" borderId="59" xfId="0" applyNumberFormat="1" applyFont="1" applyBorder="1" applyAlignment="1" applyProtection="1">
      <alignment horizontal="center"/>
      <protection locked="0"/>
    </xf>
    <xf numFmtId="0" fontId="35" fillId="0" borderId="42" xfId="0" applyFont="1" applyBorder="1" applyAlignment="1" applyProtection="1"/>
    <xf numFmtId="0" fontId="35" fillId="11" borderId="27" xfId="0" applyFont="1" applyFill="1" applyBorder="1" applyAlignment="1" applyProtection="1"/>
    <xf numFmtId="0" fontId="35" fillId="11" borderId="28" xfId="0" applyFont="1" applyFill="1" applyBorder="1" applyAlignment="1" applyProtection="1"/>
    <xf numFmtId="0" fontId="35" fillId="11" borderId="29" xfId="0" applyFont="1" applyFill="1" applyBorder="1" applyAlignment="1" applyProtection="1">
      <alignment horizontal="left"/>
    </xf>
    <xf numFmtId="0" fontId="45" fillId="0" borderId="48" xfId="0" applyFont="1" applyBorder="1" applyAlignment="1" applyProtection="1">
      <alignment horizontal="center"/>
    </xf>
    <xf numFmtId="0" fontId="45" fillId="0" borderId="48" xfId="0" applyFont="1" applyBorder="1" applyAlignment="1" applyProtection="1">
      <alignment horizontal="center"/>
    </xf>
    <xf numFmtId="0" fontId="0" fillId="35" borderId="68" xfId="0" applyFont="1" applyFill="1" applyBorder="1" applyAlignment="1">
      <alignment horizontal="center"/>
    </xf>
    <xf numFmtId="2" fontId="0" fillId="35" borderId="68" xfId="0" applyNumberFormat="1" applyFont="1" applyFill="1" applyBorder="1" applyAlignment="1">
      <alignment horizontal="center"/>
    </xf>
    <xf numFmtId="0" fontId="0" fillId="0" borderId="68" xfId="0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0" fontId="38" fillId="0" borderId="0" xfId="0" applyFont="1" applyProtection="1"/>
    <xf numFmtId="0" fontId="16" fillId="8" borderId="0" xfId="0" applyFont="1" applyFill="1" applyBorder="1" applyAlignment="1">
      <alignment horizontal="right"/>
    </xf>
    <xf numFmtId="49" fontId="6" fillId="12" borderId="27" xfId="1" applyNumberFormat="1" applyBorder="1" applyAlignment="1">
      <alignment horizontal="right"/>
    </xf>
    <xf numFmtId="49" fontId="6" fillId="12" borderId="28" xfId="1" applyNumberFormat="1" applyBorder="1" applyAlignment="1">
      <alignment horizontal="right"/>
    </xf>
    <xf numFmtId="49" fontId="6" fillId="12" borderId="35" xfId="1" applyNumberFormat="1" applyBorder="1" applyAlignment="1">
      <alignment horizontal="right"/>
    </xf>
    <xf numFmtId="49" fontId="6" fillId="12" borderId="36" xfId="1" applyNumberFormat="1" applyBorder="1" applyAlignment="1">
      <alignment horizontal="right"/>
    </xf>
    <xf numFmtId="49" fontId="6" fillId="12" borderId="5" xfId="1" applyNumberFormat="1" applyBorder="1" applyAlignment="1">
      <alignment horizontal="right"/>
    </xf>
    <xf numFmtId="49" fontId="6" fillId="12" borderId="0" xfId="1" applyNumberFormat="1" applyBorder="1" applyAlignment="1">
      <alignment horizontal="right"/>
    </xf>
    <xf numFmtId="0" fontId="8" fillId="14" borderId="27" xfId="3" applyBorder="1" applyAlignment="1">
      <alignment horizontal="right"/>
    </xf>
    <xf numFmtId="0" fontId="8" fillId="14" borderId="28" xfId="3" applyBorder="1" applyAlignment="1">
      <alignment horizontal="right"/>
    </xf>
    <xf numFmtId="165" fontId="9" fillId="0" borderId="6" xfId="0" applyNumberFormat="1" applyFont="1" applyBorder="1" applyAlignment="1">
      <alignment horizontal="center"/>
    </xf>
    <xf numFmtId="165" fontId="9" fillId="0" borderId="39" xfId="0" applyNumberFormat="1" applyFont="1" applyBorder="1" applyAlignment="1">
      <alignment horizontal="center"/>
    </xf>
    <xf numFmtId="165" fontId="9" fillId="0" borderId="40" xfId="0" applyNumberFormat="1" applyFont="1" applyBorder="1" applyAlignment="1">
      <alignment horizontal="center"/>
    </xf>
    <xf numFmtId="49" fontId="6" fillId="12" borderId="1" xfId="1" applyNumberFormat="1" applyBorder="1" applyAlignment="1">
      <alignment horizontal="right"/>
    </xf>
    <xf numFmtId="49" fontId="6" fillId="12" borderId="2" xfId="1" applyNumberFormat="1" applyBorder="1" applyAlignment="1">
      <alignment horizontal="right"/>
    </xf>
    <xf numFmtId="0" fontId="14" fillId="0" borderId="34" xfId="4" applyFont="1" applyFill="1" applyAlignment="1">
      <alignment horizont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32" fillId="0" borderId="31" xfId="0" applyFont="1" applyBorder="1" applyAlignment="1" applyProtection="1">
      <alignment horizontal="left"/>
    </xf>
    <xf numFmtId="0" fontId="28" fillId="0" borderId="32" xfId="0" applyFont="1" applyBorder="1" applyAlignment="1" applyProtection="1">
      <alignment horizontal="left"/>
    </xf>
    <xf numFmtId="0" fontId="28" fillId="0" borderId="33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31" fillId="0" borderId="31" xfId="0" applyFont="1" applyBorder="1" applyAlignment="1" applyProtection="1">
      <alignment horizontal="center"/>
    </xf>
    <xf numFmtId="0" fontId="31" fillId="0" borderId="32" xfId="0" applyFont="1" applyBorder="1" applyAlignment="1" applyProtection="1">
      <alignment horizontal="center"/>
    </xf>
    <xf numFmtId="0" fontId="31" fillId="0" borderId="33" xfId="0" applyFont="1" applyBorder="1" applyAlignment="1" applyProtection="1">
      <alignment horizontal="center"/>
    </xf>
    <xf numFmtId="0" fontId="32" fillId="0" borderId="31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43" fillId="0" borderId="55" xfId="0" applyFont="1" applyBorder="1" applyAlignment="1" applyProtection="1">
      <alignment horizontal="left"/>
      <protection locked="0"/>
    </xf>
    <xf numFmtId="0" fontId="43" fillId="0" borderId="56" xfId="0" applyFont="1" applyBorder="1" applyAlignment="1" applyProtection="1">
      <alignment horizontal="left"/>
      <protection locked="0"/>
    </xf>
    <xf numFmtId="0" fontId="43" fillId="0" borderId="57" xfId="0" applyFont="1" applyBorder="1" applyAlignment="1" applyProtection="1">
      <alignment horizontal="left"/>
      <protection locked="0"/>
    </xf>
    <xf numFmtId="0" fontId="35" fillId="0" borderId="0" xfId="0" applyFont="1" applyAlignment="1" applyProtection="1">
      <alignment horizontal="left"/>
    </xf>
    <xf numFmtId="169" fontId="36" fillId="0" borderId="44" xfId="0" applyNumberFormat="1" applyFont="1" applyBorder="1" applyAlignment="1" applyProtection="1">
      <alignment horizontal="left"/>
      <protection locked="0"/>
    </xf>
    <xf numFmtId="169" fontId="36" fillId="0" borderId="45" xfId="0" applyNumberFormat="1" applyFont="1" applyBorder="1" applyAlignment="1" applyProtection="1">
      <alignment horizontal="left"/>
      <protection locked="0"/>
    </xf>
    <xf numFmtId="0" fontId="38" fillId="0" borderId="0" xfId="0" applyFont="1" applyAlignment="1" applyProtection="1">
      <alignment horizontal="left"/>
    </xf>
    <xf numFmtId="0" fontId="37" fillId="0" borderId="47" xfId="0" applyFont="1" applyBorder="1" applyAlignment="1" applyProtection="1">
      <alignment horizontal="center"/>
    </xf>
    <xf numFmtId="0" fontId="39" fillId="0" borderId="44" xfId="0" applyFont="1" applyBorder="1" applyAlignment="1" applyProtection="1">
      <alignment horizontal="left"/>
      <protection locked="0"/>
    </xf>
    <xf numFmtId="0" fontId="39" fillId="0" borderId="45" xfId="0" applyFont="1" applyBorder="1" applyAlignment="1" applyProtection="1">
      <alignment horizontal="left"/>
      <protection locked="0"/>
    </xf>
    <xf numFmtId="0" fontId="45" fillId="0" borderId="48" xfId="0" applyFont="1" applyBorder="1" applyAlignment="1" applyProtection="1">
      <alignment horizontal="center"/>
    </xf>
    <xf numFmtId="0" fontId="43" fillId="0" borderId="50" xfId="0" applyFont="1" applyBorder="1" applyAlignment="1" applyProtection="1">
      <alignment horizontal="left"/>
      <protection locked="0"/>
    </xf>
    <xf numFmtId="0" fontId="43" fillId="0" borderId="51" xfId="0" applyFont="1" applyBorder="1" applyAlignment="1" applyProtection="1">
      <alignment horizontal="left"/>
      <protection locked="0"/>
    </xf>
    <xf numFmtId="0" fontId="43" fillId="0" borderId="52" xfId="0" applyFont="1" applyBorder="1" applyAlignment="1" applyProtection="1">
      <alignment horizontal="left"/>
      <protection locked="0"/>
    </xf>
    <xf numFmtId="0" fontId="40" fillId="0" borderId="63" xfId="0" applyFont="1" applyBorder="1" applyAlignment="1" applyProtection="1">
      <alignment horizontal="right"/>
    </xf>
    <xf numFmtId="0" fontId="40" fillId="0" borderId="46" xfId="0" applyFont="1" applyBorder="1" applyAlignment="1" applyProtection="1">
      <alignment horizontal="right"/>
    </xf>
    <xf numFmtId="0" fontId="40" fillId="0" borderId="64" xfId="0" applyFont="1" applyBorder="1" applyAlignment="1" applyProtection="1">
      <alignment horizontal="right"/>
    </xf>
    <xf numFmtId="0" fontId="42" fillId="0" borderId="65" xfId="0" applyFont="1" applyBorder="1" applyAlignment="1" applyProtection="1">
      <alignment horizontal="right"/>
    </xf>
    <xf numFmtId="0" fontId="42" fillId="0" borderId="47" xfId="0" applyFont="1" applyBorder="1" applyAlignment="1" applyProtection="1">
      <alignment horizontal="right"/>
    </xf>
    <xf numFmtId="0" fontId="42" fillId="0" borderId="66" xfId="0" applyFont="1" applyBorder="1" applyAlignment="1" applyProtection="1">
      <alignment horizontal="right"/>
    </xf>
    <xf numFmtId="0" fontId="38" fillId="0" borderId="67" xfId="0" applyFont="1" applyBorder="1" applyAlignment="1" applyProtection="1">
      <alignment horizontal="right" vertical="center"/>
    </xf>
    <xf numFmtId="0" fontId="43" fillId="0" borderId="60" xfId="0" applyFont="1" applyBorder="1" applyAlignment="1" applyProtection="1">
      <alignment horizontal="left"/>
      <protection locked="0"/>
    </xf>
    <xf numFmtId="0" fontId="43" fillId="0" borderId="61" xfId="0" applyFont="1" applyBorder="1" applyAlignment="1" applyProtection="1">
      <alignment horizontal="left"/>
      <protection locked="0"/>
    </xf>
    <xf numFmtId="0" fontId="43" fillId="0" borderId="62" xfId="0" applyFont="1" applyBorder="1" applyAlignment="1" applyProtection="1">
      <alignment horizontal="left"/>
      <protection locked="0"/>
    </xf>
    <xf numFmtId="0" fontId="22" fillId="18" borderId="31" xfId="0" applyFont="1" applyFill="1" applyBorder="1" applyAlignment="1">
      <alignment horizontal="center"/>
    </xf>
    <xf numFmtId="0" fontId="22" fillId="18" borderId="32" xfId="0" applyFont="1" applyFill="1" applyBorder="1" applyAlignment="1">
      <alignment horizontal="center"/>
    </xf>
    <xf numFmtId="0" fontId="22" fillId="18" borderId="33" xfId="0" applyFont="1" applyFill="1" applyBorder="1" applyAlignment="1">
      <alignment horizontal="center"/>
    </xf>
    <xf numFmtId="0" fontId="23" fillId="19" borderId="31" xfId="0" applyFont="1" applyFill="1" applyBorder="1" applyAlignment="1" applyProtection="1">
      <alignment horizontal="center"/>
    </xf>
    <xf numFmtId="0" fontId="23" fillId="19" borderId="32" xfId="0" applyFont="1" applyFill="1" applyBorder="1" applyAlignment="1" applyProtection="1">
      <alignment horizontal="center"/>
    </xf>
    <xf numFmtId="0" fontId="23" fillId="19" borderId="33" xfId="0" applyFont="1" applyFill="1" applyBorder="1" applyAlignment="1" applyProtection="1">
      <alignment horizontal="center"/>
    </xf>
    <xf numFmtId="0" fontId="23" fillId="19" borderId="31" xfId="0" applyFont="1" applyFill="1" applyBorder="1" applyAlignment="1">
      <alignment horizontal="center"/>
    </xf>
    <xf numFmtId="0" fontId="23" fillId="19" borderId="32" xfId="0" applyFont="1" applyFill="1" applyBorder="1" applyAlignment="1">
      <alignment horizontal="center"/>
    </xf>
    <xf numFmtId="0" fontId="23" fillId="19" borderId="33" xfId="0" applyFont="1" applyFill="1" applyBorder="1" applyAlignment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170" fontId="32" fillId="0" borderId="0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170" fontId="31" fillId="0" borderId="0" xfId="0" applyNumberFormat="1" applyFont="1" applyFill="1" applyBorder="1" applyAlignment="1">
      <alignment horizontal="center"/>
    </xf>
    <xf numFmtId="170" fontId="31" fillId="0" borderId="0" xfId="0" applyNumberFormat="1" applyFont="1" applyFill="1" applyBorder="1"/>
  </cellXfs>
  <cellStyles count="6">
    <cellStyle name="Insatisfaisant" xfId="2" builtinId="27"/>
    <cellStyle name="Lien hypertexte" xfId="5" builtinId="8"/>
    <cellStyle name="Neutre" xfId="3" builtinId="28"/>
    <cellStyle name="Normal" xfId="0" builtinId="0"/>
    <cellStyle name="Satisfaisant" xfId="1" builtinId="26"/>
    <cellStyle name="Total" xfId="4" builtinId="25"/>
  </cellStyles>
  <dxfs count="350">
    <dxf>
      <font>
        <color theme="1" tint="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70" formatCode="h:m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70" formatCode="h:m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theme="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color theme="1" tint="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0000"/>
      </font>
    </dxf>
    <dxf>
      <font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1" tint="0.24994659260841701"/>
      </font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ont>
        <b/>
        <i val="0"/>
        <color rgb="FF00B050"/>
      </font>
      <fill>
        <gradientFill>
          <stop position="0">
            <color rgb="FF92D050"/>
          </stop>
          <stop position="0.5">
            <color rgb="FFFFFF00"/>
          </stop>
          <stop position="1">
            <color rgb="FF92D05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0.24994659260841701"/>
        </pattern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0.5">
            <color theme="0" tint="-0.25098422193060094"/>
          </stop>
          <stop position="1">
            <color theme="0" tint="-5.0965910824915313E-2"/>
          </stop>
        </gradientFill>
      </fill>
    </dxf>
    <dxf>
      <fill>
        <patternFill>
          <bgColor theme="0" tint="-4.9989318521683403E-2"/>
        </patternFill>
      </fill>
    </dxf>
    <dxf>
      <font>
        <b/>
        <i val="0"/>
        <color rgb="FFFFFF00"/>
      </font>
      <fill>
        <gradientFill degree="90">
          <stop position="0">
            <color rgb="FFFF0000"/>
          </stop>
          <stop position="0.5">
            <color theme="5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b/>
        <i val="0"/>
        <color theme="0"/>
      </font>
      <fill>
        <gradientFill degree="90">
          <stop position="0">
            <color theme="3" tint="0.40000610370189521"/>
          </stop>
          <stop position="0.5">
            <color theme="3" tint="0.80001220740379042"/>
          </stop>
          <stop position="1">
            <color theme="3" tint="0.40000610370189521"/>
          </stop>
        </gradientFill>
      </fill>
    </dxf>
    <dxf>
      <font>
        <color theme="0"/>
      </font>
      <fill>
        <gradientFill degree="90">
          <stop position="0">
            <color rgb="FF0070C0"/>
          </stop>
          <stop position="1">
            <color rgb="FF002060"/>
          </stop>
        </gradient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8" formatCode="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E699"/>
      <color rgb="FF2F75B5"/>
      <color rgb="FFC00000"/>
      <color rgb="FF92D050"/>
      <color rgb="FFFF0000"/>
      <color rgb="FF8497B0"/>
      <color rgb="FF7030A0"/>
      <color rgb="FF00B0F0"/>
      <color rgb="FFFF33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22" fmlaLink="$D$2" max="9999" min="2018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</xdr:row>
          <xdr:rowOff>0</xdr:rowOff>
        </xdr:from>
        <xdr:to>
          <xdr:col>17</xdr:col>
          <xdr:colOff>371475</xdr:colOff>
          <xdr:row>4</xdr:row>
          <xdr:rowOff>180975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au1" displayName="Tableau1" ref="A1:K611" totalsRowShown="0" headerRowDxfId="349" dataDxfId="348">
  <autoFilter ref="A1:K611"/>
  <tableColumns count="11">
    <tableColumn id="1" name="Nom" dataDxfId="347"/>
    <tableColumn id="2" name="Type" dataDxfId="346"/>
    <tableColumn id="3" name="Date début" dataDxfId="345"/>
    <tableColumn id="4" name="Date de fin" dataDxfId="344"/>
    <tableColumn id="5" name="Symbole" dataDxfId="343">
      <calculatedColumnFormula>VLOOKUP(Tableau1[[#This Row],[Type]],LISTES!$A$2:$O$61,2,0)</calculatedColumnFormula>
    </tableColumn>
    <tableColumn id="6" name="Nbre jours concernés" dataDxfId="342">
      <calculatedColumnFormula>NETWORKDAYS.INTL(C2,D2,11,CALENDRIER!AF4:AF15)</calculatedColumnFormula>
    </tableColumn>
    <tableColumn id="7" name="Accepté" dataDxfId="341"/>
    <tableColumn id="8" name="Année" dataDxfId="340">
      <calculatedColumnFormula>Tableau1[[#This Row],[Date début]]</calculatedColumnFormula>
    </tableColumn>
    <tableColumn id="10" name="Heures Ate" dataDxfId="339"/>
    <tableColumn id="11" name="Heures Info" dataDxfId="338"/>
    <tableColumn id="9" name="Détail Heures" dataDxfId="3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Motifs" displayName="Motifs" ref="A1:B17" totalsRowShown="0" headerRowDxfId="334" dataDxfId="335">
  <autoFilter ref="A1:B17"/>
  <sortState ref="A2:B17">
    <sortCondition ref="A3"/>
  </sortState>
  <tableColumns count="2">
    <tableColumn id="1" name="Journée" dataDxfId="336"/>
    <tableColumn id="2" name="Symbole" dataDxfId="33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Agents" displayName="Agents" ref="D1:D2" totalsRowShown="0" headerRowDxfId="330" dataDxfId="331">
  <autoFilter ref="D1:D2"/>
  <tableColumns count="1">
    <tableColumn id="1" name="Agents" dataDxfId="33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L_Mois" displayName="L_Mois" ref="F1:F13" totalsRowShown="0" headerRowDxfId="327" dataDxfId="328">
  <autoFilter ref="F1:F13"/>
  <tableColumns count="1">
    <tableColumn id="1" name="Mois" dataDxfId="32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6" name="Services" displayName="Services" ref="H1:I17" totalsRowShown="0" headerRowDxfId="10">
  <autoFilter ref="H1:I17"/>
  <tableColumns count="2">
    <tableColumn id="1" name="Services" dataDxfId="12"/>
    <tableColumn id="2" name="H Services" dataDxfId="1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Horaires" displayName="Horaires" ref="K1:K61" totalsRowShown="0" headerRowDxfId="7" dataDxfId="8">
  <autoFilter ref="K1:K61"/>
  <tableColumns count="1">
    <tableColumn id="1" name="Horaires" dataDxfId="9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8" name="Travaux" displayName="Travaux" ref="M1:M13" totalsRowShown="0" headerRowDxfId="4" dataDxfId="5">
  <autoFilter ref="M1:M13"/>
  <tableColumns count="1">
    <tableColumn id="1" name="Travaux" dataDxfId="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9" name="Heures" displayName="Heures" ref="O1:O15" totalsRowShown="0" headerRowDxfId="1" dataDxfId="2">
  <autoFilter ref="O1:O15"/>
  <tableColumns count="1">
    <tableColumn id="1" name="Nbre heures" dataDxfId="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dXgRl40cd0I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comments" Target="../comments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7030A0"/>
  </sheetPr>
  <dimension ref="A1:AM61"/>
  <sheetViews>
    <sheetView showGridLines="0" zoomScale="90" zoomScaleNormal="90" workbookViewId="0">
      <selection activeCell="A2" sqref="A2:K2"/>
    </sheetView>
  </sheetViews>
  <sheetFormatPr baseColWidth="10" defaultColWidth="11.42578125" defaultRowHeight="15.75"/>
  <cols>
    <col min="1" max="25" width="4.7109375" style="25" customWidth="1"/>
    <col min="26" max="26" width="5.85546875" style="5" bestFit="1" customWidth="1"/>
    <col min="27" max="27" width="4.7109375" style="5" customWidth="1"/>
    <col min="28" max="30" width="12.7109375" style="5" hidden="1" customWidth="1"/>
    <col min="31" max="31" width="14.85546875" style="5" hidden="1" customWidth="1"/>
    <col min="32" max="32" width="12.7109375" style="5" hidden="1" customWidth="1"/>
    <col min="33" max="33" width="5.5703125" style="26" hidden="1" customWidth="1"/>
    <col min="34" max="35" width="4" style="5" hidden="1" customWidth="1"/>
    <col min="36" max="36" width="19.42578125" style="26" hidden="1" customWidth="1"/>
    <col min="37" max="37" width="13.28515625" style="26" hidden="1" customWidth="1"/>
    <col min="38" max="38" width="28.140625" style="26" hidden="1" customWidth="1"/>
    <col min="39" max="39" width="30" style="25" hidden="1" customWidth="1"/>
    <col min="40" max="16384" width="11.42578125" style="25"/>
  </cols>
  <sheetData>
    <row r="1" spans="1:39" ht="29.25" thickBot="1">
      <c r="B1" s="204">
        <f>RECAP!A2</f>
        <v>2020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</row>
    <row r="2" spans="1:39" ht="12" customHeight="1" thickTop="1" thickBot="1">
      <c r="A2" s="32"/>
    </row>
    <row r="3" spans="1:39" ht="16.5" thickBot="1">
      <c r="B3" s="199">
        <f>EDATE(DATE(An_ref,1,1),0)</f>
        <v>43831</v>
      </c>
      <c r="C3" s="200"/>
      <c r="D3" s="200"/>
      <c r="E3" s="200"/>
      <c r="F3" s="200"/>
      <c r="G3" s="200"/>
      <c r="H3" s="201"/>
      <c r="I3" s="5"/>
      <c r="J3" s="199">
        <f>EDATE(DATE(An_ref,1,1),1)</f>
        <v>43862</v>
      </c>
      <c r="K3" s="200"/>
      <c r="L3" s="200"/>
      <c r="M3" s="200"/>
      <c r="N3" s="200"/>
      <c r="O3" s="200"/>
      <c r="P3" s="201"/>
      <c r="Q3" s="5"/>
      <c r="R3" s="199">
        <f>EDATE(DATE(An_ref,1,1),2)</f>
        <v>43891</v>
      </c>
      <c r="S3" s="200"/>
      <c r="T3" s="200"/>
      <c r="U3" s="200"/>
      <c r="V3" s="200"/>
      <c r="W3" s="200"/>
      <c r="X3" s="201"/>
      <c r="AB3" s="197" t="s">
        <v>47</v>
      </c>
      <c r="AC3" s="198"/>
      <c r="AD3" s="198"/>
      <c r="AE3" s="3">
        <f>B1</f>
        <v>2020</v>
      </c>
      <c r="AF3" s="4"/>
      <c r="AJ3" s="6" t="s">
        <v>48</v>
      </c>
      <c r="AK3" s="7" t="s">
        <v>49</v>
      </c>
      <c r="AL3" s="8" t="s">
        <v>50</v>
      </c>
      <c r="AM3" s="8" t="s">
        <v>51</v>
      </c>
    </row>
    <row r="4" spans="1:39">
      <c r="B4" s="33" t="str">
        <f>UPPER(TEXT(B6,"jjj"))</f>
        <v>LUN</v>
      </c>
      <c r="C4" s="33" t="str">
        <f t="shared" ref="C4:H4" si="0">UPPER(TEXT(C6,"jjj"))</f>
        <v>MAR</v>
      </c>
      <c r="D4" s="33" t="str">
        <f t="shared" si="0"/>
        <v>MER</v>
      </c>
      <c r="E4" s="33" t="str">
        <f t="shared" si="0"/>
        <v>JEU</v>
      </c>
      <c r="F4" s="33" t="str">
        <f t="shared" si="0"/>
        <v>VEN</v>
      </c>
      <c r="G4" s="33" t="str">
        <f t="shared" si="0"/>
        <v>SAM</v>
      </c>
      <c r="H4" s="33" t="str">
        <f t="shared" si="0"/>
        <v>DIM</v>
      </c>
      <c r="I4" s="5"/>
      <c r="J4" s="33" t="str">
        <f>UPPER(TEXT(J6,"jjj"))</f>
        <v>LUN</v>
      </c>
      <c r="K4" s="33" t="str">
        <f t="shared" ref="K4:P4" si="1">UPPER(TEXT(K6,"jjj"))</f>
        <v>MAR</v>
      </c>
      <c r="L4" s="33" t="str">
        <f t="shared" si="1"/>
        <v>MER</v>
      </c>
      <c r="M4" s="33" t="str">
        <f t="shared" si="1"/>
        <v>JEU</v>
      </c>
      <c r="N4" s="33" t="str">
        <f t="shared" si="1"/>
        <v>VEN</v>
      </c>
      <c r="O4" s="33" t="str">
        <f t="shared" si="1"/>
        <v>SAM</v>
      </c>
      <c r="P4" s="33" t="str">
        <f t="shared" si="1"/>
        <v>DIM</v>
      </c>
      <c r="Q4" s="5"/>
      <c r="R4" s="33" t="str">
        <f>UPPER(TEXT(R6,"jjj"))</f>
        <v>LUN</v>
      </c>
      <c r="S4" s="33" t="str">
        <f t="shared" ref="S4:X4" si="2">UPPER(TEXT(S6,"jjj"))</f>
        <v>MAR</v>
      </c>
      <c r="T4" s="33" t="str">
        <f t="shared" si="2"/>
        <v>MER</v>
      </c>
      <c r="U4" s="33" t="str">
        <f t="shared" si="2"/>
        <v>JEU</v>
      </c>
      <c r="V4" s="33" t="str">
        <f t="shared" si="2"/>
        <v>VEN</v>
      </c>
      <c r="W4" s="33" t="str">
        <f t="shared" si="2"/>
        <v>SAM</v>
      </c>
      <c r="X4" s="33" t="str">
        <f t="shared" si="2"/>
        <v>DIM</v>
      </c>
      <c r="AB4" s="202" t="s">
        <v>52</v>
      </c>
      <c r="AC4" s="203"/>
      <c r="AD4" s="203"/>
      <c r="AE4" s="203"/>
      <c r="AF4" s="9">
        <f>DATE(An_ref,1,1)</f>
        <v>43831</v>
      </c>
      <c r="AG4" s="53">
        <f>MONTH(AF4)</f>
        <v>1</v>
      </c>
      <c r="AJ4" s="10">
        <f>DATE(B1,1,1)</f>
        <v>43831</v>
      </c>
      <c r="AK4" s="11">
        <f>EOMONTH(AJ4,0)</f>
        <v>43861</v>
      </c>
      <c r="AL4" s="12">
        <f t="shared" ref="AL4:AL15" si="3">NETWORKDAYS(AJ4,AK4,$AF$4:$AF$16)</f>
        <v>22</v>
      </c>
      <c r="AM4" s="12">
        <f>NETWORKDAYS(AJ4,AK4)</f>
        <v>23</v>
      </c>
    </row>
    <row r="5" spans="1:39">
      <c r="B5" s="34" t="str">
        <f>IF(WEEKDAY(B3)=2,B3,"")</f>
        <v/>
      </c>
      <c r="C5" s="34" t="str">
        <f>IF(B5&lt;&gt;"",B5+1,IF(WEEKDAY(B3)=3,B3,""))</f>
        <v/>
      </c>
      <c r="D5" s="34">
        <f>IF(C5&lt;&gt;"",C5+1,IF(WEEKDAY(B3)=4,B3,""))</f>
        <v>43831</v>
      </c>
      <c r="E5" s="34">
        <f>IF(D5&lt;&gt;"",D5+1,IF(WEEKDAY(B3)=5,B3,""))</f>
        <v>43832</v>
      </c>
      <c r="F5" s="34">
        <f>IF(E5&lt;&gt;"",E5+1,IF(WEEKDAY(B3)=6,B3,""))</f>
        <v>43833</v>
      </c>
      <c r="G5" s="34">
        <f>IF(F5&lt;&gt;"",F5+1,IF(WEEKDAY(B3)=7,B3,""))</f>
        <v>43834</v>
      </c>
      <c r="H5" s="34">
        <f>IF(G5&lt;&gt;"",G5+1,IF(WEEKDAY(B3)=1,B3,""))</f>
        <v>43835</v>
      </c>
      <c r="I5" s="5"/>
      <c r="J5" s="34" t="str">
        <f>IF(WEEKDAY(J3)=2,J3,"")</f>
        <v/>
      </c>
      <c r="K5" s="34" t="str">
        <f>IF(J5&lt;&gt;"",J5+1,IF(WEEKDAY(J3)=3,J3,""))</f>
        <v/>
      </c>
      <c r="L5" s="34" t="str">
        <f>IF(K5&lt;&gt;"",K5+1,IF(WEEKDAY(J3)=4,J3,""))</f>
        <v/>
      </c>
      <c r="M5" s="34" t="str">
        <f>IF(L5&lt;&gt;"",L5+1,IF(WEEKDAY(J3)=5,J3,""))</f>
        <v/>
      </c>
      <c r="N5" s="34" t="str">
        <f>IF(M5&lt;&gt;"",M5+1,IF(WEEKDAY(J3)=6,J3,""))</f>
        <v/>
      </c>
      <c r="O5" s="34">
        <f>IF(N5&lt;&gt;"",N5+1,IF(WEEKDAY(J3)=7,J3,""))</f>
        <v>43862</v>
      </c>
      <c r="P5" s="34">
        <f>IF(O5&lt;&gt;"",O5+1,IF(WEEKDAY(J3)=1,J3,""))</f>
        <v>43863</v>
      </c>
      <c r="Q5" s="5"/>
      <c r="R5" s="34" t="str">
        <f>IF(WEEKDAY(R3)=2,R3,"")</f>
        <v/>
      </c>
      <c r="S5" s="34" t="str">
        <f>IF(R5&lt;&gt;"",R5+1,IF(WEEKDAY(R3)=3,R3,""))</f>
        <v/>
      </c>
      <c r="T5" s="34" t="str">
        <f>IF(S5&lt;&gt;"",S5+1,IF(WEEKDAY(R3)=4,R3,""))</f>
        <v/>
      </c>
      <c r="U5" s="34" t="str">
        <f>IF(T5&lt;&gt;"",T5+1,IF(WEEKDAY(R3)=5,R3,""))</f>
        <v/>
      </c>
      <c r="V5" s="34" t="str">
        <f>IF(U5&lt;&gt;"",U5+1,IF(WEEKDAY(R3)=6,R3,""))</f>
        <v/>
      </c>
      <c r="W5" s="34" t="str">
        <f>IF(V5&lt;&gt;"",V5+1,IF(WEEKDAY(R3)=7,R3,""))</f>
        <v/>
      </c>
      <c r="X5" s="34">
        <f>IF(W5&lt;&gt;"",W5+1,IF(WEEKDAY(R3)=1,R3,""))</f>
        <v>43891</v>
      </c>
      <c r="AB5" s="195" t="s">
        <v>53</v>
      </c>
      <c r="AC5" s="196"/>
      <c r="AD5" s="196"/>
      <c r="AE5" s="196"/>
      <c r="AF5" s="13">
        <f>DATE(An_ref,5,1)</f>
        <v>43952</v>
      </c>
      <c r="AG5" s="53">
        <f t="shared" ref="AG5:AG16" si="4">MONTH(AF5)</f>
        <v>5</v>
      </c>
      <c r="AJ5" s="14">
        <f>DATE(B1,2,1)</f>
        <v>43862</v>
      </c>
      <c r="AK5" s="15">
        <f t="shared" ref="AK5:AK14" si="5">EOMONTH(AJ5,0)</f>
        <v>43890</v>
      </c>
      <c r="AL5" s="16">
        <f t="shared" si="3"/>
        <v>20</v>
      </c>
      <c r="AM5" s="16">
        <f t="shared" ref="AM5:AM15" si="6">NETWORKDAYS(AJ5,AK5)</f>
        <v>20</v>
      </c>
    </row>
    <row r="6" spans="1:39">
      <c r="B6" s="34">
        <f>H5+1</f>
        <v>43836</v>
      </c>
      <c r="C6" s="34">
        <f t="shared" ref="C6:H8" si="7">B6+1</f>
        <v>43837</v>
      </c>
      <c r="D6" s="34">
        <f t="shared" si="7"/>
        <v>43838</v>
      </c>
      <c r="E6" s="34">
        <f t="shared" si="7"/>
        <v>43839</v>
      </c>
      <c r="F6" s="34">
        <f t="shared" si="7"/>
        <v>43840</v>
      </c>
      <c r="G6" s="34">
        <f t="shared" si="7"/>
        <v>43841</v>
      </c>
      <c r="H6" s="34">
        <f t="shared" si="7"/>
        <v>43842</v>
      </c>
      <c r="I6" s="5"/>
      <c r="J6" s="34">
        <f>P5+1</f>
        <v>43864</v>
      </c>
      <c r="K6" s="34">
        <f t="shared" ref="K6:P8" si="8">J6+1</f>
        <v>43865</v>
      </c>
      <c r="L6" s="34">
        <f t="shared" si="8"/>
        <v>43866</v>
      </c>
      <c r="M6" s="34">
        <f t="shared" si="8"/>
        <v>43867</v>
      </c>
      <c r="N6" s="34">
        <f t="shared" si="8"/>
        <v>43868</v>
      </c>
      <c r="O6" s="34">
        <f t="shared" si="8"/>
        <v>43869</v>
      </c>
      <c r="P6" s="34">
        <f t="shared" si="8"/>
        <v>43870</v>
      </c>
      <c r="Q6" s="5"/>
      <c r="R6" s="34">
        <f>X5+1</f>
        <v>43892</v>
      </c>
      <c r="S6" s="34">
        <f t="shared" ref="S6:X8" si="9">R6+1</f>
        <v>43893</v>
      </c>
      <c r="T6" s="34">
        <f t="shared" si="9"/>
        <v>43894</v>
      </c>
      <c r="U6" s="34">
        <f t="shared" si="9"/>
        <v>43895</v>
      </c>
      <c r="V6" s="34">
        <f t="shared" si="9"/>
        <v>43896</v>
      </c>
      <c r="W6" s="34">
        <f t="shared" si="9"/>
        <v>43897</v>
      </c>
      <c r="X6" s="34">
        <f t="shared" si="9"/>
        <v>43898</v>
      </c>
      <c r="AB6" s="195" t="s">
        <v>54</v>
      </c>
      <c r="AC6" s="196"/>
      <c r="AD6" s="196"/>
      <c r="AE6" s="196"/>
      <c r="AF6" s="13">
        <f>DATE(An_ref,5,8)</f>
        <v>43959</v>
      </c>
      <c r="AG6" s="53">
        <f t="shared" si="4"/>
        <v>5</v>
      </c>
      <c r="AJ6" s="14">
        <f>DATE(B1,3,1)</f>
        <v>43891</v>
      </c>
      <c r="AK6" s="15">
        <f t="shared" si="5"/>
        <v>43921</v>
      </c>
      <c r="AL6" s="16">
        <f t="shared" si="3"/>
        <v>22</v>
      </c>
      <c r="AM6" s="16">
        <f t="shared" si="6"/>
        <v>22</v>
      </c>
    </row>
    <row r="7" spans="1:39">
      <c r="B7" s="34">
        <f>H6+1</f>
        <v>43843</v>
      </c>
      <c r="C7" s="34">
        <f>B7+1</f>
        <v>43844</v>
      </c>
      <c r="D7" s="34">
        <f t="shared" si="7"/>
        <v>43845</v>
      </c>
      <c r="E7" s="34">
        <f t="shared" si="7"/>
        <v>43846</v>
      </c>
      <c r="F7" s="34">
        <f t="shared" si="7"/>
        <v>43847</v>
      </c>
      <c r="G7" s="34">
        <f t="shared" si="7"/>
        <v>43848</v>
      </c>
      <c r="H7" s="34">
        <f t="shared" si="7"/>
        <v>43849</v>
      </c>
      <c r="I7" s="5"/>
      <c r="J7" s="34">
        <f>P6+1</f>
        <v>43871</v>
      </c>
      <c r="K7" s="34">
        <f t="shared" si="8"/>
        <v>43872</v>
      </c>
      <c r="L7" s="34">
        <f t="shared" si="8"/>
        <v>43873</v>
      </c>
      <c r="M7" s="34">
        <f t="shared" si="8"/>
        <v>43874</v>
      </c>
      <c r="N7" s="34">
        <f t="shared" si="8"/>
        <v>43875</v>
      </c>
      <c r="O7" s="34">
        <f t="shared" si="8"/>
        <v>43876</v>
      </c>
      <c r="P7" s="34">
        <f t="shared" si="8"/>
        <v>43877</v>
      </c>
      <c r="Q7" s="5"/>
      <c r="R7" s="34">
        <f>X6+1</f>
        <v>43899</v>
      </c>
      <c r="S7" s="34">
        <f t="shared" si="9"/>
        <v>43900</v>
      </c>
      <c r="T7" s="34">
        <f t="shared" si="9"/>
        <v>43901</v>
      </c>
      <c r="U7" s="34">
        <f t="shared" si="9"/>
        <v>43902</v>
      </c>
      <c r="V7" s="34">
        <f t="shared" si="9"/>
        <v>43903</v>
      </c>
      <c r="W7" s="34">
        <f t="shared" si="9"/>
        <v>43904</v>
      </c>
      <c r="X7" s="34">
        <f t="shared" si="9"/>
        <v>43905</v>
      </c>
      <c r="AB7" s="195" t="s">
        <v>55</v>
      </c>
      <c r="AC7" s="196"/>
      <c r="AD7" s="196"/>
      <c r="AE7" s="196"/>
      <c r="AF7" s="13">
        <f>DATE(An_ref,7,14)</f>
        <v>44026</v>
      </c>
      <c r="AG7" s="53">
        <f t="shared" si="4"/>
        <v>7</v>
      </c>
      <c r="AJ7" s="14">
        <f>DATE(B1,4,1)</f>
        <v>43922</v>
      </c>
      <c r="AK7" s="15">
        <f t="shared" si="5"/>
        <v>43951</v>
      </c>
      <c r="AL7" s="16">
        <f t="shared" si="3"/>
        <v>21</v>
      </c>
      <c r="AM7" s="16">
        <f t="shared" si="6"/>
        <v>22</v>
      </c>
    </row>
    <row r="8" spans="1:39" ht="16.5" thickBot="1">
      <c r="B8" s="34">
        <f>H7+1</f>
        <v>43850</v>
      </c>
      <c r="C8" s="34">
        <f>B8+1</f>
        <v>43851</v>
      </c>
      <c r="D8" s="34">
        <f t="shared" si="7"/>
        <v>43852</v>
      </c>
      <c r="E8" s="34">
        <f t="shared" si="7"/>
        <v>43853</v>
      </c>
      <c r="F8" s="34">
        <f t="shared" si="7"/>
        <v>43854</v>
      </c>
      <c r="G8" s="34">
        <f t="shared" si="7"/>
        <v>43855</v>
      </c>
      <c r="H8" s="34">
        <f t="shared" si="7"/>
        <v>43856</v>
      </c>
      <c r="I8" s="5"/>
      <c r="J8" s="34">
        <f>P7+1</f>
        <v>43878</v>
      </c>
      <c r="K8" s="34">
        <f t="shared" si="8"/>
        <v>43879</v>
      </c>
      <c r="L8" s="34">
        <f t="shared" si="8"/>
        <v>43880</v>
      </c>
      <c r="M8" s="34">
        <f t="shared" si="8"/>
        <v>43881</v>
      </c>
      <c r="N8" s="34">
        <f t="shared" si="8"/>
        <v>43882</v>
      </c>
      <c r="O8" s="34">
        <f t="shared" si="8"/>
        <v>43883</v>
      </c>
      <c r="P8" s="34">
        <f t="shared" si="8"/>
        <v>43884</v>
      </c>
      <c r="Q8" s="5"/>
      <c r="R8" s="34">
        <f>X7+1</f>
        <v>43906</v>
      </c>
      <c r="S8" s="34">
        <f t="shared" si="9"/>
        <v>43907</v>
      </c>
      <c r="T8" s="34">
        <f t="shared" si="9"/>
        <v>43908</v>
      </c>
      <c r="U8" s="34">
        <f t="shared" si="9"/>
        <v>43909</v>
      </c>
      <c r="V8" s="34">
        <f t="shared" si="9"/>
        <v>43910</v>
      </c>
      <c r="W8" s="34">
        <f t="shared" si="9"/>
        <v>43911</v>
      </c>
      <c r="X8" s="34">
        <f t="shared" si="9"/>
        <v>43912</v>
      </c>
      <c r="AB8" s="193" t="s">
        <v>56</v>
      </c>
      <c r="AC8" s="194"/>
      <c r="AD8" s="194"/>
      <c r="AE8" s="194"/>
      <c r="AF8" s="17">
        <f>DATE(An_ref,11,11)</f>
        <v>44146</v>
      </c>
      <c r="AG8" s="53">
        <f t="shared" si="4"/>
        <v>11</v>
      </c>
      <c r="AJ8" s="14">
        <f>DATE(B1,5,1)</f>
        <v>43952</v>
      </c>
      <c r="AK8" s="15">
        <f t="shared" si="5"/>
        <v>43982</v>
      </c>
      <c r="AL8" s="16">
        <f t="shared" si="3"/>
        <v>18</v>
      </c>
      <c r="AM8" s="16">
        <f t="shared" si="6"/>
        <v>21</v>
      </c>
    </row>
    <row r="9" spans="1:39">
      <c r="B9" s="34">
        <f>IF(H8&lt;EOMONTH(B3,0),H8+1,"")</f>
        <v>43857</v>
      </c>
      <c r="C9" s="34">
        <f>IF(B9&lt;EOMONTH(B3,0),B9+1,"")</f>
        <v>43858</v>
      </c>
      <c r="D9" s="34">
        <f>IF(C9&lt;EOMONTH(B3,0),C9+1,"")</f>
        <v>43859</v>
      </c>
      <c r="E9" s="34">
        <f>IF(D9&lt;EOMONTH(B3,0),D9+1,"")</f>
        <v>43860</v>
      </c>
      <c r="F9" s="34">
        <f>IF(E9&lt;EOMONTH(B3,0),E9+1,"")</f>
        <v>43861</v>
      </c>
      <c r="G9" s="34" t="str">
        <f>IF(F9&lt;EOMONTH(B3,0),F9+1,"")</f>
        <v/>
      </c>
      <c r="H9" s="34" t="str">
        <f>IF(G9&lt;EOMONTH(B3,0),G9+1,"")</f>
        <v/>
      </c>
      <c r="I9" s="5"/>
      <c r="J9" s="34">
        <f>IF(P8&lt;EOMONTH(J3,0),P8+1,"")</f>
        <v>43885</v>
      </c>
      <c r="K9" s="34">
        <f>IF(J9&lt;EOMONTH(J3,0),J9+1,"")</f>
        <v>43886</v>
      </c>
      <c r="L9" s="34">
        <f>IF(K9&lt;EOMONTH(J3,0),K9+1,"")</f>
        <v>43887</v>
      </c>
      <c r="M9" s="34">
        <f>IF(L9&lt;EOMONTH(J3,0),L9+1,"")</f>
        <v>43888</v>
      </c>
      <c r="N9" s="34">
        <f>IF(M9&lt;EOMONTH(J3,0),M9+1,"")</f>
        <v>43889</v>
      </c>
      <c r="O9" s="34">
        <f>IF(N9&lt;EOMONTH(J3,0),N9+1,"")</f>
        <v>43890</v>
      </c>
      <c r="P9" s="34" t="str">
        <f>IF(O9&lt;EOMONTH(J3,0),O9+1,"")</f>
        <v/>
      </c>
      <c r="Q9" s="5"/>
      <c r="R9" s="34">
        <f>IF(X8&lt;EOMONTH(R3,0),X8+1,"")</f>
        <v>43913</v>
      </c>
      <c r="S9" s="34">
        <f>IF(R9&lt;EOMONTH(R3,0),R9+1,"")</f>
        <v>43914</v>
      </c>
      <c r="T9" s="34">
        <f>IF(S9&lt;EOMONTH(R3,0),S9+1,"")</f>
        <v>43915</v>
      </c>
      <c r="U9" s="34">
        <f>IF(T9&lt;EOMONTH(R3,0),T9+1,"")</f>
        <v>43916</v>
      </c>
      <c r="V9" s="34">
        <f>IF(U9&lt;EOMONTH(R3,0),U9+1,"")</f>
        <v>43917</v>
      </c>
      <c r="W9" s="34">
        <f>IF(V9&lt;EOMONTH(R3,0),V9+1,"")</f>
        <v>43918</v>
      </c>
      <c r="X9" s="34">
        <f>IF(W9&lt;EOMONTH(R3,0),W9+1,"")</f>
        <v>43919</v>
      </c>
      <c r="AB9" s="202" t="s">
        <v>57</v>
      </c>
      <c r="AC9" s="203"/>
      <c r="AD9" s="203"/>
      <c r="AE9" s="203"/>
      <c r="AF9" s="9">
        <f>ROUND(DATE(An_ref,4,1)/7+MOD(19*MOD(An_ref,19)-7,30)*14%,0)*7-6</f>
        <v>43933</v>
      </c>
      <c r="AG9" s="53">
        <f t="shared" si="4"/>
        <v>4</v>
      </c>
      <c r="AH9" s="18"/>
      <c r="AI9" s="18"/>
      <c r="AJ9" s="14">
        <f>DATE(B1,6,1)</f>
        <v>43983</v>
      </c>
      <c r="AK9" s="15">
        <f t="shared" si="5"/>
        <v>44012</v>
      </c>
      <c r="AL9" s="16">
        <f t="shared" si="3"/>
        <v>21</v>
      </c>
      <c r="AM9" s="16">
        <f t="shared" si="6"/>
        <v>22</v>
      </c>
    </row>
    <row r="10" spans="1:39">
      <c r="B10" s="34" t="str">
        <f>IF(H9&lt;EOMONTH(B3,0),H9+1,"")</f>
        <v/>
      </c>
      <c r="C10" s="34" t="str">
        <f>IF(B10&lt;EOMONTH(B3,0),B10+1,"")</f>
        <v/>
      </c>
      <c r="D10" s="34" t="str">
        <f>IF(C10&lt;EOMONTH(B3,0),C10+1,"")</f>
        <v/>
      </c>
      <c r="E10" s="34" t="str">
        <f>IF(D10&lt;EOMONTH(B3,0),D10+1,"")</f>
        <v/>
      </c>
      <c r="F10" s="34" t="str">
        <f>IF(E10&lt;EOMONTH(B3,0),E10+1,"")</f>
        <v/>
      </c>
      <c r="G10" s="34" t="str">
        <f>IF(F10&lt;EOMONTH(B3,0),F10+1,"")</f>
        <v/>
      </c>
      <c r="H10" s="34" t="str">
        <f>IF(G10&lt;EOMONTH(B3,0),G10+1,"")</f>
        <v/>
      </c>
      <c r="I10" s="5"/>
      <c r="J10" s="34" t="str">
        <f>IF(P9&lt;EOMONTH(J3,0),P9+1,"")</f>
        <v/>
      </c>
      <c r="K10" s="34" t="str">
        <f>IF(J10&lt;EOMONTH(J3,0),J10+1,"")</f>
        <v/>
      </c>
      <c r="L10" s="34" t="str">
        <f>IF(K10&lt;EOMONTH(J3,0),K10+1,"")</f>
        <v/>
      </c>
      <c r="M10" s="34" t="str">
        <f>IF(L10&lt;EOMONTH(J3,0),L10+1,"")</f>
        <v/>
      </c>
      <c r="N10" s="34" t="str">
        <f>IF(M10&lt;EOMONTH(J3,0),M10+1,"")</f>
        <v/>
      </c>
      <c r="O10" s="34" t="str">
        <f>IF(N10&lt;EOMONTH(J3,0),N10+1,"")</f>
        <v/>
      </c>
      <c r="P10" s="34" t="str">
        <f>IF(O10&lt;EOMONTH(J3,0),O10+1,"")</f>
        <v/>
      </c>
      <c r="Q10" s="5"/>
      <c r="R10" s="34">
        <f>IF(X9&lt;EOMONTH(R3,0),X9+1,"")</f>
        <v>43920</v>
      </c>
      <c r="S10" s="34">
        <f>IF(R10&lt;EOMONTH(R3,0),R10+1,"")</f>
        <v>43921</v>
      </c>
      <c r="T10" s="34" t="str">
        <f>IF(S10&lt;EOMONTH(R3,0),S10+1,"")</f>
        <v/>
      </c>
      <c r="U10" s="34" t="str">
        <f>IF(T10&lt;EOMONTH(R3,0),T10+1,"")</f>
        <v/>
      </c>
      <c r="V10" s="34" t="str">
        <f>IF(U10&lt;EOMONTH(R3,0),U10+1,"")</f>
        <v/>
      </c>
      <c r="W10" s="34" t="str">
        <f>IF(V10&lt;EOMONTH(R3,0),V10+1,"")</f>
        <v/>
      </c>
      <c r="X10" s="34" t="str">
        <f>IF(W10&lt;EOMONTH(R3,0),W10+1,"")</f>
        <v/>
      </c>
      <c r="AB10" s="195" t="s">
        <v>58</v>
      </c>
      <c r="AC10" s="196"/>
      <c r="AD10" s="196"/>
      <c r="AE10" s="196"/>
      <c r="AF10" s="13">
        <f>AF9+1</f>
        <v>43934</v>
      </c>
      <c r="AG10" s="53">
        <f t="shared" si="4"/>
        <v>4</v>
      </c>
      <c r="AH10" s="18"/>
      <c r="AI10" s="18"/>
      <c r="AJ10" s="14">
        <f>DATE(B1,7,1)</f>
        <v>44013</v>
      </c>
      <c r="AK10" s="15">
        <f t="shared" si="5"/>
        <v>44043</v>
      </c>
      <c r="AL10" s="16">
        <f t="shared" si="3"/>
        <v>22</v>
      </c>
      <c r="AM10" s="16">
        <f t="shared" si="6"/>
        <v>23</v>
      </c>
    </row>
    <row r="11" spans="1:39" ht="12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AB11" s="195" t="s">
        <v>59</v>
      </c>
      <c r="AC11" s="196"/>
      <c r="AD11" s="196"/>
      <c r="AE11" s="196"/>
      <c r="AF11" s="13">
        <f>AF9+39</f>
        <v>43972</v>
      </c>
      <c r="AG11" s="53">
        <f t="shared" si="4"/>
        <v>5</v>
      </c>
      <c r="AH11" s="18"/>
      <c r="AI11" s="18"/>
      <c r="AJ11" s="14">
        <f>DATE(B1,8,1)</f>
        <v>44044</v>
      </c>
      <c r="AK11" s="15">
        <f t="shared" si="5"/>
        <v>44074</v>
      </c>
      <c r="AL11" s="16">
        <f t="shared" si="3"/>
        <v>21</v>
      </c>
      <c r="AM11" s="16">
        <f t="shared" si="6"/>
        <v>21</v>
      </c>
    </row>
    <row r="12" spans="1:39">
      <c r="B12" s="199">
        <f>EDATE(DATE(An_ref,1,1),3)</f>
        <v>43922</v>
      </c>
      <c r="C12" s="200"/>
      <c r="D12" s="200"/>
      <c r="E12" s="200"/>
      <c r="F12" s="200"/>
      <c r="G12" s="200"/>
      <c r="H12" s="201"/>
      <c r="I12" s="5"/>
      <c r="J12" s="199">
        <f>EDATE(DATE(An_ref,1,1),4)</f>
        <v>43952</v>
      </c>
      <c r="K12" s="200"/>
      <c r="L12" s="200"/>
      <c r="M12" s="200"/>
      <c r="N12" s="200"/>
      <c r="O12" s="200"/>
      <c r="P12" s="201"/>
      <c r="Q12" s="5"/>
      <c r="R12" s="199">
        <f>EDATE(DATE(An_ref,1,1),5)</f>
        <v>43983</v>
      </c>
      <c r="S12" s="200"/>
      <c r="T12" s="200"/>
      <c r="U12" s="200"/>
      <c r="V12" s="200"/>
      <c r="W12" s="200"/>
      <c r="X12" s="201"/>
      <c r="AB12" s="195" t="s">
        <v>60</v>
      </c>
      <c r="AC12" s="196"/>
      <c r="AD12" s="196"/>
      <c r="AE12" s="196"/>
      <c r="AF12" s="13">
        <f>AF9+50</f>
        <v>43983</v>
      </c>
      <c r="AG12" s="53">
        <f t="shared" si="4"/>
        <v>6</v>
      </c>
      <c r="AJ12" s="14">
        <f>DATE(B1,9,1)</f>
        <v>44075</v>
      </c>
      <c r="AK12" s="15">
        <f t="shared" si="5"/>
        <v>44104</v>
      </c>
      <c r="AL12" s="16">
        <f t="shared" si="3"/>
        <v>22</v>
      </c>
      <c r="AM12" s="16">
        <f t="shared" si="6"/>
        <v>22</v>
      </c>
    </row>
    <row r="13" spans="1:39">
      <c r="B13" s="33" t="str">
        <f>UPPER(TEXT(B15,"jjj"))</f>
        <v>LUN</v>
      </c>
      <c r="C13" s="33" t="str">
        <f t="shared" ref="C13:H13" si="10">UPPER(TEXT(C15,"jjj"))</f>
        <v>MAR</v>
      </c>
      <c r="D13" s="33" t="str">
        <f t="shared" si="10"/>
        <v>MER</v>
      </c>
      <c r="E13" s="33" t="str">
        <f t="shared" si="10"/>
        <v>JEU</v>
      </c>
      <c r="F13" s="33" t="str">
        <f t="shared" si="10"/>
        <v>VEN</v>
      </c>
      <c r="G13" s="33" t="str">
        <f t="shared" si="10"/>
        <v>SAM</v>
      </c>
      <c r="H13" s="33" t="str">
        <f t="shared" si="10"/>
        <v>DIM</v>
      </c>
      <c r="I13" s="5"/>
      <c r="J13" s="33" t="str">
        <f>UPPER(TEXT(J15,"jjj"))</f>
        <v>LUN</v>
      </c>
      <c r="K13" s="33" t="str">
        <f t="shared" ref="K13:P13" si="11">UPPER(TEXT(K15,"jjj"))</f>
        <v>MAR</v>
      </c>
      <c r="L13" s="33" t="str">
        <f t="shared" si="11"/>
        <v>MER</v>
      </c>
      <c r="M13" s="33" t="str">
        <f t="shared" si="11"/>
        <v>JEU</v>
      </c>
      <c r="N13" s="33" t="str">
        <f t="shared" si="11"/>
        <v>VEN</v>
      </c>
      <c r="O13" s="33" t="str">
        <f t="shared" si="11"/>
        <v>SAM</v>
      </c>
      <c r="P13" s="33" t="str">
        <f t="shared" si="11"/>
        <v>DIM</v>
      </c>
      <c r="Q13" s="5"/>
      <c r="R13" s="33" t="str">
        <f>UPPER(TEXT(R15,"jjj"))</f>
        <v>LUN</v>
      </c>
      <c r="S13" s="33" t="str">
        <f t="shared" ref="S13:X13" si="12">UPPER(TEXT(S15,"jjj"))</f>
        <v>MAR</v>
      </c>
      <c r="T13" s="33" t="str">
        <f t="shared" si="12"/>
        <v>MER</v>
      </c>
      <c r="U13" s="33" t="str">
        <f t="shared" si="12"/>
        <v>JEU</v>
      </c>
      <c r="V13" s="33" t="str">
        <f t="shared" si="12"/>
        <v>VEN</v>
      </c>
      <c r="W13" s="33" t="str">
        <f t="shared" si="12"/>
        <v>SAM</v>
      </c>
      <c r="X13" s="33" t="str">
        <f t="shared" si="12"/>
        <v>DIM</v>
      </c>
      <c r="AB13" s="195" t="s">
        <v>61</v>
      </c>
      <c r="AC13" s="196"/>
      <c r="AD13" s="196"/>
      <c r="AE13" s="196"/>
      <c r="AF13" s="13">
        <f>DATE(An_ref,8,15)</f>
        <v>44058</v>
      </c>
      <c r="AG13" s="53">
        <f t="shared" si="4"/>
        <v>8</v>
      </c>
      <c r="AJ13" s="14">
        <f>DATE(B1,10,1)</f>
        <v>44105</v>
      </c>
      <c r="AK13" s="15">
        <f t="shared" si="5"/>
        <v>44135</v>
      </c>
      <c r="AL13" s="16">
        <f t="shared" si="3"/>
        <v>22</v>
      </c>
      <c r="AM13" s="16">
        <f t="shared" si="6"/>
        <v>22</v>
      </c>
    </row>
    <row r="14" spans="1:39">
      <c r="B14" s="34" t="str">
        <f>IF(WEEKDAY(B12)=2,B12,"")</f>
        <v/>
      </c>
      <c r="C14" s="34" t="str">
        <f>IF(B14&lt;&gt;"",B14+1,IF(WEEKDAY(B12)=3,B12,""))</f>
        <v/>
      </c>
      <c r="D14" s="34">
        <f>IF(C14&lt;&gt;"",C14+1,IF(WEEKDAY(B12)=4,B12,""))</f>
        <v>43922</v>
      </c>
      <c r="E14" s="34">
        <f>IF(D14&lt;&gt;"",D14+1,IF(WEEKDAY(B12)=5,B12,""))</f>
        <v>43923</v>
      </c>
      <c r="F14" s="34">
        <f>IF(E14&lt;&gt;"",E14+1,IF(WEEKDAY(B12)=6,B12,""))</f>
        <v>43924</v>
      </c>
      <c r="G14" s="34">
        <f>IF(F14&lt;&gt;"",F14+1,IF(WEEKDAY(B12)=7,B12,""))</f>
        <v>43925</v>
      </c>
      <c r="H14" s="34">
        <f>IF(G14&lt;&gt;"",G14+1,IF(WEEKDAY(B12)=1,B12,""))</f>
        <v>43926</v>
      </c>
      <c r="I14" s="5"/>
      <c r="J14" s="34" t="str">
        <f>IF(WEEKDAY(J12)=2,J12,"")</f>
        <v/>
      </c>
      <c r="K14" s="34" t="str">
        <f>IF(J14&lt;&gt;"",J14+1,IF(WEEKDAY(J12)=3,J12,""))</f>
        <v/>
      </c>
      <c r="L14" s="34" t="str">
        <f>IF(K14&lt;&gt;"",K14+1,IF(WEEKDAY(J12)=4,J12,""))</f>
        <v/>
      </c>
      <c r="M14" s="34" t="str">
        <f>IF(L14&lt;&gt;"",L14+1,IF(WEEKDAY(J12)=5,J12,""))</f>
        <v/>
      </c>
      <c r="N14" s="34">
        <f>IF(M14&lt;&gt;"",M14+1,IF(WEEKDAY(J12)=6,J12,""))</f>
        <v>43952</v>
      </c>
      <c r="O14" s="34">
        <f>IF(N14&lt;&gt;"",N14+1,IF(WEEKDAY(J12)=7,J12,""))</f>
        <v>43953</v>
      </c>
      <c r="P14" s="34">
        <f>IF(O14&lt;&gt;"",O14+1,IF(WEEKDAY(J12)=1,J12,""))</f>
        <v>43954</v>
      </c>
      <c r="Q14" s="5"/>
      <c r="R14" s="34">
        <f>IF(WEEKDAY(R12)=2,R12,"")</f>
        <v>43983</v>
      </c>
      <c r="S14" s="34">
        <f>IF(R14&lt;&gt;"",R14+1,IF(WEEKDAY(R12)=3,R12,""))</f>
        <v>43984</v>
      </c>
      <c r="T14" s="34">
        <f>IF(S14&lt;&gt;"",S14+1,IF(WEEKDAY(R12)=4,R12,""))</f>
        <v>43985</v>
      </c>
      <c r="U14" s="34">
        <f>IF(T14&lt;&gt;"",T14+1,IF(WEEKDAY(R12)=5,R12,""))</f>
        <v>43986</v>
      </c>
      <c r="V14" s="34">
        <f>IF(U14&lt;&gt;"",U14+1,IF(WEEKDAY(R12)=6,R12,""))</f>
        <v>43987</v>
      </c>
      <c r="W14" s="34">
        <f>IF(V14&lt;&gt;"",V14+1,IF(WEEKDAY(R12)=7,R12,""))</f>
        <v>43988</v>
      </c>
      <c r="X14" s="34">
        <f>IF(W14&lt;&gt;"",W14+1,IF(WEEKDAY(R12)=1,R12,""))</f>
        <v>43989</v>
      </c>
      <c r="AB14" s="195" t="s">
        <v>62</v>
      </c>
      <c r="AC14" s="196"/>
      <c r="AD14" s="196"/>
      <c r="AE14" s="196"/>
      <c r="AF14" s="13">
        <f>DATE(An_ref,11,1)</f>
        <v>44136</v>
      </c>
      <c r="AG14" s="53">
        <f t="shared" si="4"/>
        <v>11</v>
      </c>
      <c r="AJ14" s="14">
        <f>DATE(B1,11,1)</f>
        <v>44136</v>
      </c>
      <c r="AK14" s="15">
        <f t="shared" si="5"/>
        <v>44165</v>
      </c>
      <c r="AL14" s="16">
        <f t="shared" si="3"/>
        <v>20</v>
      </c>
      <c r="AM14" s="16">
        <f t="shared" si="6"/>
        <v>21</v>
      </c>
    </row>
    <row r="15" spans="1:39" ht="16.5" thickBot="1">
      <c r="B15" s="34">
        <f>H14+1</f>
        <v>43927</v>
      </c>
      <c r="C15" s="34">
        <f t="shared" ref="C15:H17" si="13">B15+1</f>
        <v>43928</v>
      </c>
      <c r="D15" s="34">
        <f t="shared" si="13"/>
        <v>43929</v>
      </c>
      <c r="E15" s="34">
        <f t="shared" si="13"/>
        <v>43930</v>
      </c>
      <c r="F15" s="34">
        <f t="shared" si="13"/>
        <v>43931</v>
      </c>
      <c r="G15" s="34">
        <f t="shared" si="13"/>
        <v>43932</v>
      </c>
      <c r="H15" s="34">
        <f t="shared" si="13"/>
        <v>43933</v>
      </c>
      <c r="I15" s="5"/>
      <c r="J15" s="34">
        <f>P14+1</f>
        <v>43955</v>
      </c>
      <c r="K15" s="34">
        <f t="shared" ref="K15:P17" si="14">J15+1</f>
        <v>43956</v>
      </c>
      <c r="L15" s="34">
        <f t="shared" si="14"/>
        <v>43957</v>
      </c>
      <c r="M15" s="34">
        <f t="shared" si="14"/>
        <v>43958</v>
      </c>
      <c r="N15" s="34">
        <f t="shared" si="14"/>
        <v>43959</v>
      </c>
      <c r="O15" s="34">
        <f t="shared" si="14"/>
        <v>43960</v>
      </c>
      <c r="P15" s="34">
        <f t="shared" si="14"/>
        <v>43961</v>
      </c>
      <c r="Q15" s="5"/>
      <c r="R15" s="34">
        <f>X14+1</f>
        <v>43990</v>
      </c>
      <c r="S15" s="34">
        <f t="shared" ref="S15:X17" si="15">R15+1</f>
        <v>43991</v>
      </c>
      <c r="T15" s="34">
        <f t="shared" si="15"/>
        <v>43992</v>
      </c>
      <c r="U15" s="34">
        <f t="shared" si="15"/>
        <v>43993</v>
      </c>
      <c r="V15" s="34">
        <f t="shared" si="15"/>
        <v>43994</v>
      </c>
      <c r="W15" s="34">
        <f t="shared" si="15"/>
        <v>43995</v>
      </c>
      <c r="X15" s="34">
        <f t="shared" si="15"/>
        <v>43996</v>
      </c>
      <c r="AB15" s="193" t="s">
        <v>63</v>
      </c>
      <c r="AC15" s="194"/>
      <c r="AD15" s="194"/>
      <c r="AE15" s="194"/>
      <c r="AF15" s="17">
        <f>DATE(An_ref,12,25)</f>
        <v>44190</v>
      </c>
      <c r="AG15" s="53">
        <f>MONTH(AF15)</f>
        <v>12</v>
      </c>
      <c r="AJ15" s="19">
        <f>DATE((B1)-1,12,1)</f>
        <v>43800</v>
      </c>
      <c r="AK15" s="20">
        <f>EOMONTH(AJ15,0)</f>
        <v>43830</v>
      </c>
      <c r="AL15" s="21">
        <f t="shared" si="3"/>
        <v>21</v>
      </c>
      <c r="AM15" s="21">
        <f t="shared" si="6"/>
        <v>22</v>
      </c>
    </row>
    <row r="16" spans="1:39" ht="16.5" thickBot="1">
      <c r="B16" s="34">
        <f>H15+1</f>
        <v>43934</v>
      </c>
      <c r="C16" s="34">
        <f t="shared" si="13"/>
        <v>43935</v>
      </c>
      <c r="D16" s="34">
        <f t="shared" si="13"/>
        <v>43936</v>
      </c>
      <c r="E16" s="34">
        <f t="shared" si="13"/>
        <v>43937</v>
      </c>
      <c r="F16" s="34">
        <f t="shared" si="13"/>
        <v>43938</v>
      </c>
      <c r="G16" s="34">
        <f t="shared" si="13"/>
        <v>43939</v>
      </c>
      <c r="H16" s="34">
        <f t="shared" si="13"/>
        <v>43940</v>
      </c>
      <c r="I16" s="5"/>
      <c r="J16" s="34">
        <f>P15+1</f>
        <v>43962</v>
      </c>
      <c r="K16" s="34">
        <f t="shared" si="14"/>
        <v>43963</v>
      </c>
      <c r="L16" s="34">
        <f t="shared" si="14"/>
        <v>43964</v>
      </c>
      <c r="M16" s="34">
        <f t="shared" si="14"/>
        <v>43965</v>
      </c>
      <c r="N16" s="34">
        <f t="shared" si="14"/>
        <v>43966</v>
      </c>
      <c r="O16" s="34">
        <f t="shared" si="14"/>
        <v>43967</v>
      </c>
      <c r="P16" s="34">
        <f t="shared" si="14"/>
        <v>43968</v>
      </c>
      <c r="Q16" s="5"/>
      <c r="R16" s="34">
        <f>X15+1</f>
        <v>43997</v>
      </c>
      <c r="S16" s="34">
        <f t="shared" si="15"/>
        <v>43998</v>
      </c>
      <c r="T16" s="34">
        <f t="shared" si="15"/>
        <v>43999</v>
      </c>
      <c r="U16" s="34">
        <f t="shared" si="15"/>
        <v>44000</v>
      </c>
      <c r="V16" s="34">
        <f t="shared" si="15"/>
        <v>44001</v>
      </c>
      <c r="W16" s="34">
        <f t="shared" si="15"/>
        <v>44002</v>
      </c>
      <c r="X16" s="34">
        <f t="shared" si="15"/>
        <v>44003</v>
      </c>
      <c r="AB16" s="191" t="s">
        <v>63</v>
      </c>
      <c r="AC16" s="192"/>
      <c r="AD16" s="192"/>
      <c r="AE16" s="192"/>
      <c r="AF16" s="50">
        <f>DATE((An_ref)-1,12,25)</f>
        <v>43824</v>
      </c>
      <c r="AG16" s="53">
        <f t="shared" si="4"/>
        <v>12</v>
      </c>
      <c r="AJ16" s="22"/>
      <c r="AK16" s="23"/>
      <c r="AL16" s="23">
        <f>SUM(AL4:AL15)</f>
        <v>252</v>
      </c>
      <c r="AM16" s="24">
        <f>SUM(AM4:AM15)</f>
        <v>261</v>
      </c>
    </row>
    <row r="17" spans="2:38" ht="16.5" thickBot="1">
      <c r="B17" s="34">
        <f>H16+1</f>
        <v>43941</v>
      </c>
      <c r="C17" s="34">
        <f t="shared" si="13"/>
        <v>43942</v>
      </c>
      <c r="D17" s="34">
        <f t="shared" si="13"/>
        <v>43943</v>
      </c>
      <c r="E17" s="34">
        <f t="shared" si="13"/>
        <v>43944</v>
      </c>
      <c r="F17" s="34">
        <f t="shared" si="13"/>
        <v>43945</v>
      </c>
      <c r="G17" s="34">
        <f t="shared" si="13"/>
        <v>43946</v>
      </c>
      <c r="H17" s="34">
        <f t="shared" si="13"/>
        <v>43947</v>
      </c>
      <c r="I17" s="5"/>
      <c r="J17" s="34">
        <f>P16+1</f>
        <v>43969</v>
      </c>
      <c r="K17" s="34">
        <f t="shared" si="14"/>
        <v>43970</v>
      </c>
      <c r="L17" s="34">
        <f t="shared" si="14"/>
        <v>43971</v>
      </c>
      <c r="M17" s="34">
        <f t="shared" si="14"/>
        <v>43972</v>
      </c>
      <c r="N17" s="34">
        <f t="shared" si="14"/>
        <v>43973</v>
      </c>
      <c r="O17" s="34">
        <f t="shared" si="14"/>
        <v>43974</v>
      </c>
      <c r="P17" s="34">
        <f t="shared" si="14"/>
        <v>43975</v>
      </c>
      <c r="Q17" s="5"/>
      <c r="R17" s="34">
        <f>X16+1</f>
        <v>44004</v>
      </c>
      <c r="S17" s="34">
        <f t="shared" si="15"/>
        <v>44005</v>
      </c>
      <c r="T17" s="34">
        <f t="shared" si="15"/>
        <v>44006</v>
      </c>
      <c r="U17" s="34">
        <f t="shared" si="15"/>
        <v>44007</v>
      </c>
      <c r="V17" s="34">
        <f t="shared" si="15"/>
        <v>44008</v>
      </c>
      <c r="W17" s="34">
        <f t="shared" si="15"/>
        <v>44009</v>
      </c>
      <c r="X17" s="34">
        <f t="shared" si="15"/>
        <v>44010</v>
      </c>
      <c r="AF17" s="25"/>
    </row>
    <row r="18" spans="2:38" ht="16.5" thickBot="1">
      <c r="B18" s="34">
        <f>IF(H17&lt;EOMONTH(B12,0),H17+1,"")</f>
        <v>43948</v>
      </c>
      <c r="C18" s="34">
        <f>IF(B18&lt;EOMONTH(B12,0),B18+1,"")</f>
        <v>43949</v>
      </c>
      <c r="D18" s="34">
        <f>IF(C18&lt;EOMONTH(B12,0),C18+1,"")</f>
        <v>43950</v>
      </c>
      <c r="E18" s="34">
        <f>IF(D18&lt;EOMONTH(B12,0),D18+1,"")</f>
        <v>43951</v>
      </c>
      <c r="F18" s="34" t="str">
        <f>IF(E18&lt;EOMONTH(B12,0),E18+1,"")</f>
        <v/>
      </c>
      <c r="G18" s="34" t="str">
        <f>IF(F18&lt;EOMONTH(B12,0),F18+1,"")</f>
        <v/>
      </c>
      <c r="H18" s="34" t="str">
        <f>IF(G18&lt;EOMONTH(B12,0),G18+1,"")</f>
        <v/>
      </c>
      <c r="I18" s="5"/>
      <c r="J18" s="34">
        <f>IF(P17&lt;EOMONTH(J12,0),P17+1,"")</f>
        <v>43976</v>
      </c>
      <c r="K18" s="34">
        <f>IF(J18&lt;EOMONTH(J12,0),J18+1,"")</f>
        <v>43977</v>
      </c>
      <c r="L18" s="34">
        <f>IF(K18&lt;EOMONTH(J12,0),K18+1,"")</f>
        <v>43978</v>
      </c>
      <c r="M18" s="34">
        <f>IF(L18&lt;EOMONTH(J12,0),L18+1,"")</f>
        <v>43979</v>
      </c>
      <c r="N18" s="34">
        <f>IF(M18&lt;EOMONTH(J12,0),M18+1,"")</f>
        <v>43980</v>
      </c>
      <c r="O18" s="34">
        <f>IF(N18&lt;EOMONTH(J12,0),N18+1,"")</f>
        <v>43981</v>
      </c>
      <c r="P18" s="34">
        <f>IF(O18&lt;EOMONTH(J12,0),O18+1,"")</f>
        <v>43982</v>
      </c>
      <c r="Q18" s="5"/>
      <c r="R18" s="34">
        <f>IF(X17&lt;EOMONTH(R12,0),X17+1,"")</f>
        <v>44011</v>
      </c>
      <c r="S18" s="34">
        <f>IF(R18&lt;EOMONTH(R12,0),R18+1,"")</f>
        <v>44012</v>
      </c>
      <c r="T18" s="34" t="str">
        <f>IF(S18&lt;EOMONTH(R12,0),S18+1,"")</f>
        <v/>
      </c>
      <c r="U18" s="34" t="str">
        <f>IF(T18&lt;EOMONTH(R12,0),T18+1,"")</f>
        <v/>
      </c>
      <c r="V18" s="34" t="str">
        <f>IF(U18&lt;EOMONTH(R12,0),U18+1,"")</f>
        <v/>
      </c>
      <c r="W18" s="34" t="str">
        <f>IF(V18&lt;EOMONTH(R12,0),V18+1,"")</f>
        <v/>
      </c>
      <c r="X18" s="34" t="str">
        <f>IF(W18&lt;EOMONTH(R12,0),W18+1,"")</f>
        <v/>
      </c>
      <c r="AB18" s="54" t="s">
        <v>72</v>
      </c>
      <c r="AC18" s="54" t="s">
        <v>73</v>
      </c>
      <c r="AJ18" s="27" t="s">
        <v>64</v>
      </c>
      <c r="AK18" s="28">
        <f>B1</f>
        <v>2020</v>
      </c>
      <c r="AL18" s="29">
        <f>(DATEDIF(AJ15,AK14, "d")+1)</f>
        <v>366</v>
      </c>
    </row>
    <row r="19" spans="2:38" ht="16.5" thickBot="1">
      <c r="B19" s="34" t="str">
        <f>IF(H18&lt;EOMONTH(B12,0),H18+1,"")</f>
        <v/>
      </c>
      <c r="C19" s="34" t="str">
        <f>IF(B19&lt;EOMONTH(B12,0),B19+1,"")</f>
        <v/>
      </c>
      <c r="D19" s="34" t="str">
        <f>IF(C19&lt;EOMONTH(B12,0),C19+1,"")</f>
        <v/>
      </c>
      <c r="E19" s="34" t="str">
        <f>IF(D19&lt;EOMONTH(B12,0),D19+1,"")</f>
        <v/>
      </c>
      <c r="F19" s="34" t="str">
        <f>IF(E19&lt;EOMONTH(B12,0),E19+1,"")</f>
        <v/>
      </c>
      <c r="G19" s="34" t="str">
        <f>IF(F19&lt;EOMONTH(B12,0),F19+1,"")</f>
        <v/>
      </c>
      <c r="H19" s="34" t="str">
        <f>IF(G19&lt;EOMONTH(B12,0),G19+1,"")</f>
        <v/>
      </c>
      <c r="I19" s="5"/>
      <c r="J19" s="34" t="str">
        <f>IF(P18&lt;EOMONTH(J12,0),P18+1,"")</f>
        <v/>
      </c>
      <c r="K19" s="34" t="str">
        <f>IF(J19&lt;EOMONTH(J12,0),J19+1,"")</f>
        <v/>
      </c>
      <c r="L19" s="34" t="str">
        <f>IF(K19&lt;EOMONTH(J12,0),K19+1,"")</f>
        <v/>
      </c>
      <c r="M19" s="34" t="str">
        <f>IF(L19&lt;EOMONTH(J12,0),L19+1,"")</f>
        <v/>
      </c>
      <c r="N19" s="34" t="str">
        <f>IF(M19&lt;EOMONTH(J12,0),M19+1,"")</f>
        <v/>
      </c>
      <c r="O19" s="34" t="str">
        <f>IF(N19&lt;EOMONTH(J12,0),N19+1,"")</f>
        <v/>
      </c>
      <c r="P19" s="34" t="str">
        <f>IF(O19&lt;EOMONTH(J12,0),O19+1,"")</f>
        <v/>
      </c>
      <c r="Q19" s="5"/>
      <c r="R19" s="34" t="str">
        <f>IF(X18&lt;EOMONTH(R12,0),X18+1,"")</f>
        <v/>
      </c>
      <c r="S19" s="34" t="str">
        <f>IF(R19&lt;EOMONTH(R12,0),R19+1,"")</f>
        <v/>
      </c>
      <c r="T19" s="34" t="str">
        <f>IF(S19&lt;EOMONTH(R12,0),S19+1,"")</f>
        <v/>
      </c>
      <c r="U19" s="34" t="str">
        <f>IF(T19&lt;EOMONTH(R12,0),T19+1,"")</f>
        <v/>
      </c>
      <c r="V19" s="34" t="str">
        <f>IF(U19&lt;EOMONTH(R12,0),U19+1,"")</f>
        <v/>
      </c>
      <c r="W19" s="34" t="str">
        <f>IF(V19&lt;EOMONTH(R12,0),V19+1,"")</f>
        <v/>
      </c>
      <c r="X19" s="34" t="str">
        <f>IF(W19&lt;EOMONTH(R12,0),W19+1,"")</f>
        <v/>
      </c>
      <c r="AB19" s="55">
        <v>1</v>
      </c>
      <c r="AC19" s="53">
        <f>COUNTIF($AG$4:$AG$15,AB19)</f>
        <v>1</v>
      </c>
      <c r="AJ19" s="30" t="s">
        <v>65</v>
      </c>
      <c r="AK19" s="31" t="s">
        <v>66</v>
      </c>
      <c r="AL19" s="24">
        <f>SUM(AL4:AL15)</f>
        <v>252</v>
      </c>
    </row>
    <row r="20" spans="2:38" ht="15" customHeight="1" thickBo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AB20" s="55">
        <v>2</v>
      </c>
      <c r="AC20" s="53">
        <f t="shared" ref="AC20:AC30" si="16">COUNTIF($AG$4:$AG$15,AB20)</f>
        <v>0</v>
      </c>
      <c r="AJ20" s="30" t="s">
        <v>65</v>
      </c>
      <c r="AK20" s="31" t="s">
        <v>67</v>
      </c>
      <c r="AL20" s="24">
        <f>SUM(AM4:AM15)</f>
        <v>261</v>
      </c>
    </row>
    <row r="21" spans="2:38" ht="16.5" thickBot="1">
      <c r="B21" s="199">
        <f>EDATE(DATE(An_ref,1,1),6)</f>
        <v>44013</v>
      </c>
      <c r="C21" s="200"/>
      <c r="D21" s="200"/>
      <c r="E21" s="200"/>
      <c r="F21" s="200"/>
      <c r="G21" s="200"/>
      <c r="H21" s="201"/>
      <c r="I21" s="5"/>
      <c r="J21" s="199">
        <f>EDATE(DATE(An_ref,1,1),7)</f>
        <v>44044</v>
      </c>
      <c r="K21" s="200"/>
      <c r="L21" s="200"/>
      <c r="M21" s="200"/>
      <c r="N21" s="200"/>
      <c r="O21" s="200"/>
      <c r="P21" s="201"/>
      <c r="Q21" s="5"/>
      <c r="R21" s="199">
        <f>EDATE(DATE(An_ref,1,1),8)</f>
        <v>44075</v>
      </c>
      <c r="S21" s="200"/>
      <c r="T21" s="200"/>
      <c r="U21" s="200"/>
      <c r="V21" s="200"/>
      <c r="W21" s="200"/>
      <c r="X21" s="201"/>
      <c r="AB21" s="55">
        <v>3</v>
      </c>
      <c r="AC21" s="53">
        <f t="shared" si="16"/>
        <v>0</v>
      </c>
      <c r="AJ21" s="30" t="s">
        <v>68</v>
      </c>
      <c r="AK21" s="31"/>
      <c r="AL21" s="24">
        <f>AL18-AL20</f>
        <v>105</v>
      </c>
    </row>
    <row r="22" spans="2:38" ht="16.5" customHeight="1" thickBot="1">
      <c r="B22" s="33" t="str">
        <f>UPPER(TEXT(B24,"jjj"))</f>
        <v>LUN</v>
      </c>
      <c r="C22" s="33" t="str">
        <f t="shared" ref="C22:H22" si="17">UPPER(TEXT(C24,"jjj"))</f>
        <v>MAR</v>
      </c>
      <c r="D22" s="33" t="str">
        <f t="shared" si="17"/>
        <v>MER</v>
      </c>
      <c r="E22" s="33" t="str">
        <f t="shared" si="17"/>
        <v>JEU</v>
      </c>
      <c r="F22" s="33" t="str">
        <f t="shared" si="17"/>
        <v>VEN</v>
      </c>
      <c r="G22" s="33" t="str">
        <f t="shared" si="17"/>
        <v>SAM</v>
      </c>
      <c r="H22" s="33" t="str">
        <f t="shared" si="17"/>
        <v>DIM</v>
      </c>
      <c r="I22" s="5"/>
      <c r="J22" s="33" t="str">
        <f>UPPER(TEXT(J24,"jjj"))</f>
        <v>LUN</v>
      </c>
      <c r="K22" s="33" t="str">
        <f t="shared" ref="K22:P22" si="18">UPPER(TEXT(K24,"jjj"))</f>
        <v>MAR</v>
      </c>
      <c r="L22" s="33" t="str">
        <f t="shared" si="18"/>
        <v>MER</v>
      </c>
      <c r="M22" s="33" t="str">
        <f t="shared" si="18"/>
        <v>JEU</v>
      </c>
      <c r="N22" s="33" t="str">
        <f t="shared" si="18"/>
        <v>VEN</v>
      </c>
      <c r="O22" s="33" t="str">
        <f t="shared" si="18"/>
        <v>SAM</v>
      </c>
      <c r="P22" s="33" t="str">
        <f t="shared" si="18"/>
        <v>DIM</v>
      </c>
      <c r="Q22" s="5"/>
      <c r="R22" s="33" t="str">
        <f>UPPER(TEXT(R24,"jjj"))</f>
        <v>LUN</v>
      </c>
      <c r="S22" s="33" t="str">
        <f t="shared" ref="S22:X22" si="19">UPPER(TEXT(S24,"jjj"))</f>
        <v>MAR</v>
      </c>
      <c r="T22" s="33" t="str">
        <f t="shared" si="19"/>
        <v>MER</v>
      </c>
      <c r="U22" s="33" t="str">
        <f t="shared" si="19"/>
        <v>JEU</v>
      </c>
      <c r="V22" s="33" t="str">
        <f t="shared" si="19"/>
        <v>VEN</v>
      </c>
      <c r="W22" s="33" t="str">
        <f t="shared" si="19"/>
        <v>SAM</v>
      </c>
      <c r="X22" s="33" t="str">
        <f t="shared" si="19"/>
        <v>DIM</v>
      </c>
      <c r="AB22" s="55">
        <v>4</v>
      </c>
      <c r="AC22" s="53">
        <f t="shared" si="16"/>
        <v>2</v>
      </c>
      <c r="AJ22" s="30" t="s">
        <v>69</v>
      </c>
      <c r="AK22" s="31" t="s">
        <v>70</v>
      </c>
      <c r="AL22" s="24">
        <f>AL20-AL19</f>
        <v>9</v>
      </c>
    </row>
    <row r="23" spans="2:38" ht="16.5" customHeight="1">
      <c r="B23" s="34" t="str">
        <f>IF(WEEKDAY(B21)=2,B21,"")</f>
        <v/>
      </c>
      <c r="C23" s="34" t="str">
        <f>IF(B23&lt;&gt;"",B23+1,IF(WEEKDAY(B21)=3,B21,""))</f>
        <v/>
      </c>
      <c r="D23" s="34">
        <f>IF(C23&lt;&gt;"",C23+1,IF(WEEKDAY(B21)=4,B21,""))</f>
        <v>44013</v>
      </c>
      <c r="E23" s="34">
        <f>IF(D23&lt;&gt;"",D23+1,IF(WEEKDAY(B21)=5,B21,""))</f>
        <v>44014</v>
      </c>
      <c r="F23" s="34">
        <f>IF(E23&lt;&gt;"",E23+1,IF(WEEKDAY(B21)=6,B21,""))</f>
        <v>44015</v>
      </c>
      <c r="G23" s="34">
        <f>IF(F23&lt;&gt;"",F23+1,IF(WEEKDAY(B21)=7,B21,""))</f>
        <v>44016</v>
      </c>
      <c r="H23" s="34">
        <f>IF(G23&lt;&gt;"",G23+1,IF(WEEKDAY(B21)=1,B21,""))</f>
        <v>44017</v>
      </c>
      <c r="I23" s="5"/>
      <c r="J23" s="34" t="str">
        <f>IF(WEEKDAY(J21)=2,J21,"")</f>
        <v/>
      </c>
      <c r="K23" s="34" t="str">
        <f>IF(J23&lt;&gt;"",J23+1,IF(WEEKDAY(J21)=3,J21,""))</f>
        <v/>
      </c>
      <c r="L23" s="34" t="str">
        <f>IF(K23&lt;&gt;"",K23+1,IF(WEEKDAY(J21)=4,J21,""))</f>
        <v/>
      </c>
      <c r="M23" s="34" t="str">
        <f>IF(L23&lt;&gt;"",L23+1,IF(WEEKDAY(J21)=5,J21,""))</f>
        <v/>
      </c>
      <c r="N23" s="34" t="str">
        <f>IF(M23&lt;&gt;"",M23+1,IF(WEEKDAY(J21)=6,J21,""))</f>
        <v/>
      </c>
      <c r="O23" s="34">
        <f>IF(N23&lt;&gt;"",N23+1,IF(WEEKDAY(J21)=7,J21,""))</f>
        <v>44044</v>
      </c>
      <c r="P23" s="34">
        <f>IF(O23&lt;&gt;"",O23+1,IF(WEEKDAY(J21)=1,J21,""))</f>
        <v>44045</v>
      </c>
      <c r="Q23" s="5"/>
      <c r="R23" s="34" t="str">
        <f>IF(WEEKDAY(R21)=2,R21,"")</f>
        <v/>
      </c>
      <c r="S23" s="34">
        <f>IF(R23&lt;&gt;"",R23+1,IF(WEEKDAY(R21)=3,R21,""))</f>
        <v>44075</v>
      </c>
      <c r="T23" s="34">
        <f>IF(S23&lt;&gt;"",S23+1,IF(WEEKDAY(R21)=4,R21,""))</f>
        <v>44076</v>
      </c>
      <c r="U23" s="34">
        <f>IF(T23&lt;&gt;"",T23+1,IF(WEEKDAY(R21)=5,R21,""))</f>
        <v>44077</v>
      </c>
      <c r="V23" s="34">
        <f>IF(U23&lt;&gt;"",U23+1,IF(WEEKDAY(R21)=6,R21,""))</f>
        <v>44078</v>
      </c>
      <c r="W23" s="34">
        <f>IF(V23&lt;&gt;"",V23+1,IF(WEEKDAY(R21)=7,R21,""))</f>
        <v>44079</v>
      </c>
      <c r="X23" s="34">
        <f>IF(W23&lt;&gt;"",W23+1,IF(WEEKDAY(R21)=1,R21,""))</f>
        <v>44080</v>
      </c>
      <c r="AB23" s="55">
        <v>5</v>
      </c>
      <c r="AC23" s="53">
        <f t="shared" si="16"/>
        <v>3</v>
      </c>
      <c r="AL23" s="35"/>
    </row>
    <row r="24" spans="2:38" ht="16.5" customHeight="1">
      <c r="B24" s="34">
        <f>H23+1</f>
        <v>44018</v>
      </c>
      <c r="C24" s="34">
        <f t="shared" ref="C24:H26" si="20">B24+1</f>
        <v>44019</v>
      </c>
      <c r="D24" s="34">
        <f t="shared" si="20"/>
        <v>44020</v>
      </c>
      <c r="E24" s="34">
        <f t="shared" si="20"/>
        <v>44021</v>
      </c>
      <c r="F24" s="34">
        <f t="shared" si="20"/>
        <v>44022</v>
      </c>
      <c r="G24" s="34">
        <f t="shared" si="20"/>
        <v>44023</v>
      </c>
      <c r="H24" s="34">
        <f t="shared" si="20"/>
        <v>44024</v>
      </c>
      <c r="I24" s="5"/>
      <c r="J24" s="34">
        <f>P23+1</f>
        <v>44046</v>
      </c>
      <c r="K24" s="34">
        <f t="shared" ref="K24:P26" si="21">J24+1</f>
        <v>44047</v>
      </c>
      <c r="L24" s="34">
        <f t="shared" si="21"/>
        <v>44048</v>
      </c>
      <c r="M24" s="34">
        <f t="shared" si="21"/>
        <v>44049</v>
      </c>
      <c r="N24" s="34">
        <f t="shared" si="21"/>
        <v>44050</v>
      </c>
      <c r="O24" s="34">
        <f t="shared" si="21"/>
        <v>44051</v>
      </c>
      <c r="P24" s="34">
        <f t="shared" si="21"/>
        <v>44052</v>
      </c>
      <c r="Q24" s="5"/>
      <c r="R24" s="34">
        <f>X23+1</f>
        <v>44081</v>
      </c>
      <c r="S24" s="34">
        <f t="shared" ref="S24:X26" si="22">R24+1</f>
        <v>44082</v>
      </c>
      <c r="T24" s="34">
        <f t="shared" si="22"/>
        <v>44083</v>
      </c>
      <c r="U24" s="34">
        <f t="shared" si="22"/>
        <v>44084</v>
      </c>
      <c r="V24" s="34">
        <f t="shared" si="22"/>
        <v>44085</v>
      </c>
      <c r="W24" s="34">
        <f t="shared" si="22"/>
        <v>44086</v>
      </c>
      <c r="X24" s="34">
        <f t="shared" si="22"/>
        <v>44087</v>
      </c>
      <c r="AB24" s="55">
        <v>6</v>
      </c>
      <c r="AC24" s="53">
        <f t="shared" si="16"/>
        <v>1</v>
      </c>
      <c r="AL24" s="36"/>
    </row>
    <row r="25" spans="2:38" ht="16.5" customHeight="1">
      <c r="B25" s="34">
        <f>H24+1</f>
        <v>44025</v>
      </c>
      <c r="C25" s="34">
        <f t="shared" si="20"/>
        <v>44026</v>
      </c>
      <c r="D25" s="34">
        <f t="shared" si="20"/>
        <v>44027</v>
      </c>
      <c r="E25" s="34">
        <f t="shared" si="20"/>
        <v>44028</v>
      </c>
      <c r="F25" s="34">
        <f t="shared" si="20"/>
        <v>44029</v>
      </c>
      <c r="G25" s="34">
        <f t="shared" si="20"/>
        <v>44030</v>
      </c>
      <c r="H25" s="34">
        <f t="shared" si="20"/>
        <v>44031</v>
      </c>
      <c r="I25" s="5"/>
      <c r="J25" s="34">
        <f>P24+1</f>
        <v>44053</v>
      </c>
      <c r="K25" s="34">
        <f t="shared" si="21"/>
        <v>44054</v>
      </c>
      <c r="L25" s="34">
        <f t="shared" si="21"/>
        <v>44055</v>
      </c>
      <c r="M25" s="34">
        <f t="shared" si="21"/>
        <v>44056</v>
      </c>
      <c r="N25" s="34">
        <f t="shared" si="21"/>
        <v>44057</v>
      </c>
      <c r="O25" s="34">
        <f t="shared" si="21"/>
        <v>44058</v>
      </c>
      <c r="P25" s="34">
        <f t="shared" si="21"/>
        <v>44059</v>
      </c>
      <c r="Q25" s="5"/>
      <c r="R25" s="34">
        <f>X24+1</f>
        <v>44088</v>
      </c>
      <c r="S25" s="34">
        <f t="shared" si="22"/>
        <v>44089</v>
      </c>
      <c r="T25" s="34">
        <f t="shared" si="22"/>
        <v>44090</v>
      </c>
      <c r="U25" s="34">
        <f t="shared" si="22"/>
        <v>44091</v>
      </c>
      <c r="V25" s="34">
        <f t="shared" si="22"/>
        <v>44092</v>
      </c>
      <c r="W25" s="34">
        <f t="shared" si="22"/>
        <v>44093</v>
      </c>
      <c r="X25" s="34">
        <f t="shared" si="22"/>
        <v>44094</v>
      </c>
      <c r="AB25" s="55">
        <v>7</v>
      </c>
      <c r="AC25" s="53">
        <f t="shared" si="16"/>
        <v>1</v>
      </c>
      <c r="AL25" s="36"/>
    </row>
    <row r="26" spans="2:38" ht="16.5" customHeight="1">
      <c r="B26" s="34">
        <f>H25+1</f>
        <v>44032</v>
      </c>
      <c r="C26" s="34">
        <f t="shared" si="20"/>
        <v>44033</v>
      </c>
      <c r="D26" s="34">
        <f t="shared" si="20"/>
        <v>44034</v>
      </c>
      <c r="E26" s="34">
        <f t="shared" si="20"/>
        <v>44035</v>
      </c>
      <c r="F26" s="34">
        <f t="shared" si="20"/>
        <v>44036</v>
      </c>
      <c r="G26" s="34">
        <f t="shared" si="20"/>
        <v>44037</v>
      </c>
      <c r="H26" s="34">
        <f t="shared" si="20"/>
        <v>44038</v>
      </c>
      <c r="I26" s="5"/>
      <c r="J26" s="34">
        <f>P25+1</f>
        <v>44060</v>
      </c>
      <c r="K26" s="34">
        <f t="shared" si="21"/>
        <v>44061</v>
      </c>
      <c r="L26" s="34">
        <f t="shared" si="21"/>
        <v>44062</v>
      </c>
      <c r="M26" s="34">
        <f t="shared" si="21"/>
        <v>44063</v>
      </c>
      <c r="N26" s="34">
        <f t="shared" si="21"/>
        <v>44064</v>
      </c>
      <c r="O26" s="34">
        <f t="shared" si="21"/>
        <v>44065</v>
      </c>
      <c r="P26" s="34">
        <f t="shared" si="21"/>
        <v>44066</v>
      </c>
      <c r="Q26" s="5"/>
      <c r="R26" s="34">
        <f>X25+1</f>
        <v>44095</v>
      </c>
      <c r="S26" s="34">
        <f t="shared" si="22"/>
        <v>44096</v>
      </c>
      <c r="T26" s="34">
        <f t="shared" si="22"/>
        <v>44097</v>
      </c>
      <c r="U26" s="34">
        <f t="shared" si="22"/>
        <v>44098</v>
      </c>
      <c r="V26" s="34">
        <f t="shared" si="22"/>
        <v>44099</v>
      </c>
      <c r="W26" s="34">
        <f t="shared" si="22"/>
        <v>44100</v>
      </c>
      <c r="X26" s="34">
        <f t="shared" si="22"/>
        <v>44101</v>
      </c>
      <c r="AB26" s="55">
        <v>8</v>
      </c>
      <c r="AC26" s="53">
        <f t="shared" si="16"/>
        <v>1</v>
      </c>
      <c r="AL26" s="36"/>
    </row>
    <row r="27" spans="2:38" ht="16.5" customHeight="1">
      <c r="B27" s="34">
        <f>IF(H26&lt;EOMONTH(B21,0),H26+1,"")</f>
        <v>44039</v>
      </c>
      <c r="C27" s="34">
        <f>IF(B27&lt;EOMONTH(B21,0),B27+1,"")</f>
        <v>44040</v>
      </c>
      <c r="D27" s="34">
        <f>IF(C27&lt;EOMONTH(B21,0),C27+1,"")</f>
        <v>44041</v>
      </c>
      <c r="E27" s="34">
        <f>IF(D27&lt;EOMONTH(B21,0),D27+1,"")</f>
        <v>44042</v>
      </c>
      <c r="F27" s="34">
        <f>IF(E27&lt;EOMONTH(B21,0),E27+1,"")</f>
        <v>44043</v>
      </c>
      <c r="G27" s="34" t="str">
        <f>IF(F27&lt;EOMONTH(B21,0),F27+1,"")</f>
        <v/>
      </c>
      <c r="H27" s="34" t="str">
        <f>IF(G27&lt;EOMONTH(B21,0),G27+1,"")</f>
        <v/>
      </c>
      <c r="I27" s="5"/>
      <c r="J27" s="34">
        <f>IF(P26&lt;EOMONTH(J21,0),P26+1,"")</f>
        <v>44067</v>
      </c>
      <c r="K27" s="34">
        <f>IF(J27&lt;EOMONTH(J21,0),J27+1,"")</f>
        <v>44068</v>
      </c>
      <c r="L27" s="34">
        <f>IF(K27&lt;EOMONTH(J21,0),K27+1,"")</f>
        <v>44069</v>
      </c>
      <c r="M27" s="34">
        <f>IF(L27&lt;EOMONTH(J21,0),L27+1,"")</f>
        <v>44070</v>
      </c>
      <c r="N27" s="34">
        <f>IF(M27&lt;EOMONTH(J21,0),M27+1,"")</f>
        <v>44071</v>
      </c>
      <c r="O27" s="34">
        <f>IF(N27&lt;EOMONTH(J21,0),N27+1,"")</f>
        <v>44072</v>
      </c>
      <c r="P27" s="34">
        <f>IF(O27&lt;EOMONTH(J21,0),O27+1,"")</f>
        <v>44073</v>
      </c>
      <c r="Q27" s="5"/>
      <c r="R27" s="34">
        <f>IF(X26&lt;EOMONTH(R21,0),X26+1,"")</f>
        <v>44102</v>
      </c>
      <c r="S27" s="34">
        <f>IF(R27&lt;EOMONTH(R21,0),R27+1,"")</f>
        <v>44103</v>
      </c>
      <c r="T27" s="34">
        <f>IF(S27&lt;EOMONTH(R21,0),S27+1,"")</f>
        <v>44104</v>
      </c>
      <c r="U27" s="34" t="str">
        <f>IF(T27&lt;EOMONTH(R21,0),T27+1,"")</f>
        <v/>
      </c>
      <c r="V27" s="34" t="str">
        <f>IF(U27&lt;EOMONTH(R21,0),U27+1,"")</f>
        <v/>
      </c>
      <c r="W27" s="34" t="str">
        <f>IF(V27&lt;EOMONTH(R21,0),V27+1,"")</f>
        <v/>
      </c>
      <c r="X27" s="34" t="str">
        <f>IF(W27&lt;EOMONTH(R21,0),W27+1,"")</f>
        <v/>
      </c>
      <c r="AB27" s="55">
        <v>9</v>
      </c>
      <c r="AC27" s="53">
        <f t="shared" si="16"/>
        <v>0</v>
      </c>
      <c r="AD27" s="37"/>
      <c r="AE27" s="38"/>
      <c r="AF27" s="39"/>
      <c r="AG27" s="39"/>
      <c r="AH27" s="39"/>
      <c r="AI27" s="39"/>
      <c r="AJ27" s="39"/>
      <c r="AK27" s="39"/>
      <c r="AL27" s="36"/>
    </row>
    <row r="28" spans="2:38">
      <c r="B28" s="34" t="str">
        <f>IF(H27&lt;EOMONTH(B21,0),H27+1,"")</f>
        <v/>
      </c>
      <c r="C28" s="34" t="str">
        <f>IF(B28&lt;EOMONTH(B21,0),B28+1,"")</f>
        <v/>
      </c>
      <c r="D28" s="34" t="str">
        <f>IF(C28&lt;EOMONTH(B21,0),C28+1,"")</f>
        <v/>
      </c>
      <c r="E28" s="34" t="str">
        <f>IF(D28&lt;EOMONTH(B21,0),D28+1,"")</f>
        <v/>
      </c>
      <c r="F28" s="34" t="str">
        <f>IF(E28&lt;EOMONTH(B21,0),E28+1,"")</f>
        <v/>
      </c>
      <c r="G28" s="34" t="str">
        <f>IF(F28&lt;EOMONTH(B21,0),F28+1,"")</f>
        <v/>
      </c>
      <c r="H28" s="34" t="str">
        <f>IF(G28&lt;EOMONTH(B21,0),G28+1,"")</f>
        <v/>
      </c>
      <c r="I28" s="5"/>
      <c r="J28" s="34">
        <f>IF(P27&lt;EOMONTH(J21,0),P27+1,"")</f>
        <v>44074</v>
      </c>
      <c r="K28" s="34" t="str">
        <f>IF(J28&lt;EOMONTH(J21,0),J28+1,"")</f>
        <v/>
      </c>
      <c r="L28" s="34" t="str">
        <f>IF(K28&lt;EOMONTH(J21,0),K28+1,"")</f>
        <v/>
      </c>
      <c r="M28" s="34" t="str">
        <f>IF(L28&lt;EOMONTH(J21,0),L28+1,"")</f>
        <v/>
      </c>
      <c r="N28" s="34" t="str">
        <f>IF(M28&lt;EOMONTH(J21,0),M28+1,"")</f>
        <v/>
      </c>
      <c r="O28" s="34" t="str">
        <f>IF(N28&lt;EOMONTH(J21,0),N28+1,"")</f>
        <v/>
      </c>
      <c r="P28" s="34" t="str">
        <f>IF(O28&lt;EOMONTH(J21,0),O28+1,"")</f>
        <v/>
      </c>
      <c r="Q28" s="5"/>
      <c r="R28" s="34" t="str">
        <f>IF(X27&lt;EOMONTH(R21,0),X27+1,"")</f>
        <v/>
      </c>
      <c r="S28" s="34" t="str">
        <f>IF(R28&lt;EOMONTH(R21,0),R28+1,"")</f>
        <v/>
      </c>
      <c r="T28" s="34" t="str">
        <f>IF(S28&lt;EOMONTH(R21,0),S28+1,"")</f>
        <v/>
      </c>
      <c r="U28" s="34" t="str">
        <f>IF(T28&lt;EOMONTH(R21,0),T28+1,"")</f>
        <v/>
      </c>
      <c r="V28" s="34" t="str">
        <f>IF(U28&lt;EOMONTH(R21,0),U28+1,"")</f>
        <v/>
      </c>
      <c r="W28" s="34" t="str">
        <f>IF(V28&lt;EOMONTH(R21,0),V28+1,"")</f>
        <v/>
      </c>
      <c r="X28" s="34" t="str">
        <f>IF(W28&lt;EOMONTH(R21,0),W28+1,"")</f>
        <v/>
      </c>
      <c r="AB28" s="55">
        <v>10</v>
      </c>
      <c r="AC28" s="53">
        <f t="shared" si="16"/>
        <v>0</v>
      </c>
      <c r="AD28" s="40"/>
      <c r="AE28" s="38"/>
      <c r="AF28" s="39"/>
      <c r="AG28" s="39"/>
      <c r="AH28" s="39"/>
      <c r="AI28" s="39"/>
      <c r="AJ28" s="39"/>
      <c r="AK28" s="39"/>
      <c r="AL28" s="36"/>
    </row>
    <row r="29" spans="2:38" ht="12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AB29" s="55">
        <v>11</v>
      </c>
      <c r="AC29" s="53">
        <f t="shared" si="16"/>
        <v>2</v>
      </c>
      <c r="AD29" s="37"/>
      <c r="AE29" s="38"/>
      <c r="AF29" s="39"/>
      <c r="AG29" s="39"/>
      <c r="AH29" s="39"/>
      <c r="AI29" s="39"/>
      <c r="AJ29" s="39"/>
      <c r="AK29" s="39"/>
      <c r="AL29" s="39"/>
    </row>
    <row r="30" spans="2:38">
      <c r="B30" s="199">
        <f>EDATE(DATE(An_ref,1,1),9)</f>
        <v>44105</v>
      </c>
      <c r="C30" s="200"/>
      <c r="D30" s="200"/>
      <c r="E30" s="200"/>
      <c r="F30" s="200"/>
      <c r="G30" s="200"/>
      <c r="H30" s="201"/>
      <c r="I30" s="5"/>
      <c r="J30" s="199">
        <f>EDATE(DATE(An_ref,1,1),10)</f>
        <v>44136</v>
      </c>
      <c r="K30" s="200"/>
      <c r="L30" s="200"/>
      <c r="M30" s="200"/>
      <c r="N30" s="200"/>
      <c r="O30" s="200"/>
      <c r="P30" s="201"/>
      <c r="Q30" s="5"/>
      <c r="R30" s="199">
        <f>EDATE(DATE(An_ref,1,1),11)</f>
        <v>44166</v>
      </c>
      <c r="S30" s="200"/>
      <c r="T30" s="200"/>
      <c r="U30" s="200"/>
      <c r="V30" s="200"/>
      <c r="W30" s="200"/>
      <c r="X30" s="201"/>
      <c r="AB30" s="55">
        <v>12</v>
      </c>
      <c r="AC30" s="53">
        <f t="shared" si="16"/>
        <v>1</v>
      </c>
      <c r="AL30" s="39"/>
    </row>
    <row r="31" spans="2:38">
      <c r="B31" s="33" t="str">
        <f>UPPER(TEXT(B33,"jjj"))</f>
        <v>LUN</v>
      </c>
      <c r="C31" s="33" t="str">
        <f t="shared" ref="C31:H31" si="23">UPPER(TEXT(C33,"jjj"))</f>
        <v>MAR</v>
      </c>
      <c r="D31" s="33" t="str">
        <f t="shared" si="23"/>
        <v>MER</v>
      </c>
      <c r="E31" s="33" t="str">
        <f t="shared" si="23"/>
        <v>JEU</v>
      </c>
      <c r="F31" s="33" t="str">
        <f t="shared" si="23"/>
        <v>VEN</v>
      </c>
      <c r="G31" s="33" t="str">
        <f t="shared" si="23"/>
        <v>SAM</v>
      </c>
      <c r="H31" s="33" t="str">
        <f t="shared" si="23"/>
        <v>DIM</v>
      </c>
      <c r="I31" s="5"/>
      <c r="J31" s="33" t="str">
        <f>UPPER(TEXT(J33,"jjj"))</f>
        <v>LUN</v>
      </c>
      <c r="K31" s="33" t="str">
        <f t="shared" ref="K31:P31" si="24">UPPER(TEXT(K33,"jjj"))</f>
        <v>MAR</v>
      </c>
      <c r="L31" s="33" t="str">
        <f t="shared" si="24"/>
        <v>MER</v>
      </c>
      <c r="M31" s="33" t="str">
        <f t="shared" si="24"/>
        <v>JEU</v>
      </c>
      <c r="N31" s="33" t="str">
        <f t="shared" si="24"/>
        <v>VEN</v>
      </c>
      <c r="O31" s="33" t="str">
        <f t="shared" si="24"/>
        <v>SAM</v>
      </c>
      <c r="P31" s="33" t="str">
        <f t="shared" si="24"/>
        <v>DIM</v>
      </c>
      <c r="Q31" s="5"/>
      <c r="R31" s="33" t="str">
        <f>UPPER(TEXT(R33,"jjj"))</f>
        <v>LUN</v>
      </c>
      <c r="S31" s="33" t="str">
        <f t="shared" ref="S31:X31" si="25">UPPER(TEXT(S33,"jjj"))</f>
        <v>MAR</v>
      </c>
      <c r="T31" s="33" t="str">
        <f t="shared" si="25"/>
        <v>MER</v>
      </c>
      <c r="U31" s="33" t="str">
        <f t="shared" si="25"/>
        <v>JEU</v>
      </c>
      <c r="V31" s="33" t="str">
        <f t="shared" si="25"/>
        <v>VEN</v>
      </c>
      <c r="W31" s="33" t="str">
        <f t="shared" si="25"/>
        <v>SAM</v>
      </c>
      <c r="X31" s="33" t="str">
        <f t="shared" si="25"/>
        <v>DIM</v>
      </c>
      <c r="AL31" s="39"/>
    </row>
    <row r="32" spans="2:38">
      <c r="B32" s="34" t="str">
        <f>IF(WEEKDAY(B30)=2,B30,"")</f>
        <v/>
      </c>
      <c r="C32" s="34" t="str">
        <f>IF(B32&lt;&gt;"",B32+1,IF(WEEKDAY(B30)=3,B30,""))</f>
        <v/>
      </c>
      <c r="D32" s="34" t="str">
        <f>IF(C32&lt;&gt;"",C32+1,IF(WEEKDAY(B30)=4,B30,""))</f>
        <v/>
      </c>
      <c r="E32" s="34">
        <f>IF(D32&lt;&gt;"",D32+1,IF(WEEKDAY(B30)=5,B30,""))</f>
        <v>44105</v>
      </c>
      <c r="F32" s="34">
        <f>IF(E32&lt;&gt;"",E32+1,IF(WEEKDAY(B30)=6,B30,""))</f>
        <v>44106</v>
      </c>
      <c r="G32" s="34">
        <f>IF(F32&lt;&gt;"",F32+1,IF(WEEKDAY(B30)=7,B30,""))</f>
        <v>44107</v>
      </c>
      <c r="H32" s="34">
        <f>IF(G32&lt;&gt;"",G32+1,IF(WEEKDAY(B30)=1,B30,""))</f>
        <v>44108</v>
      </c>
      <c r="I32" s="5"/>
      <c r="J32" s="34" t="str">
        <f>IF(WEEKDAY(J30)=2,J30,"")</f>
        <v/>
      </c>
      <c r="K32" s="34" t="str">
        <f>IF(J32&lt;&gt;"",J32+1,IF(WEEKDAY(J30)=3,J30,""))</f>
        <v/>
      </c>
      <c r="L32" s="34" t="str">
        <f>IF(K32&lt;&gt;"",K32+1,IF(WEEKDAY(J30)=4,J30,""))</f>
        <v/>
      </c>
      <c r="M32" s="34" t="str">
        <f>IF(L32&lt;&gt;"",L32+1,IF(WEEKDAY(J30)=5,J30,""))</f>
        <v/>
      </c>
      <c r="N32" s="34" t="str">
        <f>IF(M32&lt;&gt;"",M32+1,IF(WEEKDAY(J30)=6,J30,""))</f>
        <v/>
      </c>
      <c r="O32" s="34" t="str">
        <f>IF(N32&lt;&gt;"",N32+1,IF(WEEKDAY(J30)=7,J30,""))</f>
        <v/>
      </c>
      <c r="P32" s="34">
        <f>IF(O32&lt;&gt;"",O32+1,IF(WEEKDAY(J30)=1,J30,""))</f>
        <v>44136</v>
      </c>
      <c r="Q32" s="5"/>
      <c r="R32" s="34" t="str">
        <f>IF(WEEKDAY(R30)=2,R30,"")</f>
        <v/>
      </c>
      <c r="S32" s="34">
        <f>IF(R32&lt;&gt;"",R32+1,IF(WEEKDAY(R30)=3,R30,""))</f>
        <v>44166</v>
      </c>
      <c r="T32" s="34">
        <f>IF(S32&lt;&gt;"",S32+1,IF(WEEKDAY(R30)=4,R30,""))</f>
        <v>44167</v>
      </c>
      <c r="U32" s="34">
        <f>IF(T32&lt;&gt;"",T32+1,IF(WEEKDAY(R30)=5,R30,""))</f>
        <v>44168</v>
      </c>
      <c r="V32" s="34">
        <f>IF(U32&lt;&gt;"",U32+1,IF(WEEKDAY(R30)=6,R30,""))</f>
        <v>44169</v>
      </c>
      <c r="W32" s="34">
        <f>IF(V32&lt;&gt;"",V32+1,IF(WEEKDAY(R30)=7,R30,""))</f>
        <v>44170</v>
      </c>
      <c r="X32" s="34">
        <f>IF(W32&lt;&gt;"",W32+1,IF(WEEKDAY(R30)=1,R30,""))</f>
        <v>44171</v>
      </c>
      <c r="AL32" s="39"/>
    </row>
    <row r="33" spans="2:38">
      <c r="B33" s="34">
        <f>H32+1</f>
        <v>44109</v>
      </c>
      <c r="C33" s="34">
        <f t="shared" ref="C33:H35" si="26">B33+1</f>
        <v>44110</v>
      </c>
      <c r="D33" s="34">
        <f t="shared" si="26"/>
        <v>44111</v>
      </c>
      <c r="E33" s="34">
        <f t="shared" si="26"/>
        <v>44112</v>
      </c>
      <c r="F33" s="34">
        <f t="shared" si="26"/>
        <v>44113</v>
      </c>
      <c r="G33" s="34">
        <f t="shared" si="26"/>
        <v>44114</v>
      </c>
      <c r="H33" s="34">
        <f t="shared" si="26"/>
        <v>44115</v>
      </c>
      <c r="I33" s="5"/>
      <c r="J33" s="34">
        <f>P32+1</f>
        <v>44137</v>
      </c>
      <c r="K33" s="34">
        <f t="shared" ref="K33:P35" si="27">J33+1</f>
        <v>44138</v>
      </c>
      <c r="L33" s="34">
        <f t="shared" si="27"/>
        <v>44139</v>
      </c>
      <c r="M33" s="34">
        <f t="shared" si="27"/>
        <v>44140</v>
      </c>
      <c r="N33" s="34">
        <f t="shared" si="27"/>
        <v>44141</v>
      </c>
      <c r="O33" s="34">
        <f t="shared" si="27"/>
        <v>44142</v>
      </c>
      <c r="P33" s="34">
        <f t="shared" si="27"/>
        <v>44143</v>
      </c>
      <c r="Q33" s="5"/>
      <c r="R33" s="34">
        <f>X32+1</f>
        <v>44172</v>
      </c>
      <c r="S33" s="34">
        <f t="shared" ref="S33:X35" si="28">R33+1</f>
        <v>44173</v>
      </c>
      <c r="T33" s="34">
        <f t="shared" si="28"/>
        <v>44174</v>
      </c>
      <c r="U33" s="34">
        <f t="shared" si="28"/>
        <v>44175</v>
      </c>
      <c r="V33" s="34">
        <f t="shared" si="28"/>
        <v>44176</v>
      </c>
      <c r="W33" s="34">
        <f t="shared" si="28"/>
        <v>44177</v>
      </c>
      <c r="X33" s="34">
        <f t="shared" si="28"/>
        <v>44178</v>
      </c>
      <c r="AB33" s="147" t="s">
        <v>118</v>
      </c>
      <c r="AL33" s="39"/>
    </row>
    <row r="34" spans="2:38">
      <c r="B34" s="34">
        <f>H33+1</f>
        <v>44116</v>
      </c>
      <c r="C34" s="34">
        <f t="shared" si="26"/>
        <v>44117</v>
      </c>
      <c r="D34" s="34">
        <f t="shared" si="26"/>
        <v>44118</v>
      </c>
      <c r="E34" s="34">
        <f t="shared" si="26"/>
        <v>44119</v>
      </c>
      <c r="F34" s="34">
        <f t="shared" si="26"/>
        <v>44120</v>
      </c>
      <c r="G34" s="34">
        <f t="shared" si="26"/>
        <v>44121</v>
      </c>
      <c r="H34" s="34">
        <f t="shared" si="26"/>
        <v>44122</v>
      </c>
      <c r="I34" s="5"/>
      <c r="J34" s="34">
        <f>P33+1</f>
        <v>44144</v>
      </c>
      <c r="K34" s="34">
        <f t="shared" si="27"/>
        <v>44145</v>
      </c>
      <c r="L34" s="34">
        <f t="shared" si="27"/>
        <v>44146</v>
      </c>
      <c r="M34" s="34">
        <f t="shared" si="27"/>
        <v>44147</v>
      </c>
      <c r="N34" s="34">
        <f t="shared" si="27"/>
        <v>44148</v>
      </c>
      <c r="O34" s="34">
        <f t="shared" si="27"/>
        <v>44149</v>
      </c>
      <c r="P34" s="34">
        <f t="shared" si="27"/>
        <v>44150</v>
      </c>
      <c r="Q34" s="5"/>
      <c r="R34" s="34">
        <f>X33+1</f>
        <v>44179</v>
      </c>
      <c r="S34" s="34">
        <f t="shared" si="28"/>
        <v>44180</v>
      </c>
      <c r="T34" s="34">
        <f t="shared" si="28"/>
        <v>44181</v>
      </c>
      <c r="U34" s="34">
        <f t="shared" si="28"/>
        <v>44182</v>
      </c>
      <c r="V34" s="34">
        <f t="shared" si="28"/>
        <v>44183</v>
      </c>
      <c r="W34" s="34">
        <f t="shared" si="28"/>
        <v>44184</v>
      </c>
      <c r="X34" s="34">
        <f t="shared" si="28"/>
        <v>44185</v>
      </c>
      <c r="AL34" s="39"/>
    </row>
    <row r="35" spans="2:38">
      <c r="B35" s="34">
        <f>H34+1</f>
        <v>44123</v>
      </c>
      <c r="C35" s="34">
        <f t="shared" si="26"/>
        <v>44124</v>
      </c>
      <c r="D35" s="34">
        <f t="shared" si="26"/>
        <v>44125</v>
      </c>
      <c r="E35" s="34">
        <f t="shared" si="26"/>
        <v>44126</v>
      </c>
      <c r="F35" s="34">
        <f t="shared" si="26"/>
        <v>44127</v>
      </c>
      <c r="G35" s="34">
        <f t="shared" si="26"/>
        <v>44128</v>
      </c>
      <c r="H35" s="34">
        <f t="shared" si="26"/>
        <v>44129</v>
      </c>
      <c r="I35" s="5"/>
      <c r="J35" s="34">
        <f>P34+1</f>
        <v>44151</v>
      </c>
      <c r="K35" s="34">
        <f t="shared" si="27"/>
        <v>44152</v>
      </c>
      <c r="L35" s="34">
        <f t="shared" si="27"/>
        <v>44153</v>
      </c>
      <c r="M35" s="34">
        <f t="shared" si="27"/>
        <v>44154</v>
      </c>
      <c r="N35" s="34">
        <f t="shared" si="27"/>
        <v>44155</v>
      </c>
      <c r="O35" s="34">
        <f t="shared" si="27"/>
        <v>44156</v>
      </c>
      <c r="P35" s="34">
        <f t="shared" si="27"/>
        <v>44157</v>
      </c>
      <c r="Q35" s="5"/>
      <c r="R35" s="34">
        <f>X34+1</f>
        <v>44186</v>
      </c>
      <c r="S35" s="34">
        <f t="shared" si="28"/>
        <v>44187</v>
      </c>
      <c r="T35" s="34">
        <f t="shared" si="28"/>
        <v>44188</v>
      </c>
      <c r="U35" s="34">
        <f t="shared" si="28"/>
        <v>44189</v>
      </c>
      <c r="V35" s="34">
        <f t="shared" si="28"/>
        <v>44190</v>
      </c>
      <c r="W35" s="34">
        <f t="shared" si="28"/>
        <v>44191</v>
      </c>
      <c r="X35" s="34">
        <f t="shared" si="28"/>
        <v>44192</v>
      </c>
      <c r="AD35" s="51"/>
      <c r="AE35" s="38"/>
      <c r="AF35" s="39"/>
      <c r="AG35" s="39"/>
      <c r="AH35" s="39"/>
      <c r="AI35" s="39"/>
      <c r="AJ35" s="39"/>
      <c r="AK35" s="39"/>
      <c r="AL35" s="39"/>
    </row>
    <row r="36" spans="2:38">
      <c r="B36" s="34">
        <f>IF(H35&lt;EOMONTH(B30,0),H35+1,"")</f>
        <v>44130</v>
      </c>
      <c r="C36" s="34">
        <f>IF(B36&lt;EOMONTH(B30,0),B36+1,"")</f>
        <v>44131</v>
      </c>
      <c r="D36" s="34">
        <f>IF(C36&lt;EOMONTH(B30,0),C36+1,"")</f>
        <v>44132</v>
      </c>
      <c r="E36" s="34">
        <f>IF(D36&lt;EOMONTH(B30,0),D36+1,"")</f>
        <v>44133</v>
      </c>
      <c r="F36" s="34">
        <f>IF(E36&lt;EOMONTH(B30,0),E36+1,"")</f>
        <v>44134</v>
      </c>
      <c r="G36" s="34">
        <f>IF(F36&lt;EOMONTH(B30,0),F36+1,"")</f>
        <v>44135</v>
      </c>
      <c r="H36" s="34" t="str">
        <f>IF(G36&lt;EOMONTH(B30,0),G36+1,"")</f>
        <v/>
      </c>
      <c r="I36" s="5"/>
      <c r="J36" s="34">
        <f>IF(P35&lt;EOMONTH(J30,0),P35+1,"")</f>
        <v>44158</v>
      </c>
      <c r="K36" s="34">
        <f>IF(J36&lt;EOMONTH(J30,0),J36+1,"")</f>
        <v>44159</v>
      </c>
      <c r="L36" s="34">
        <f>IF(K36&lt;EOMONTH(J30,0),K36+1,"")</f>
        <v>44160</v>
      </c>
      <c r="M36" s="34">
        <f>IF(L36&lt;EOMONTH(J30,0),L36+1,"")</f>
        <v>44161</v>
      </c>
      <c r="N36" s="34">
        <f>IF(M36&lt;EOMONTH(J30,0),M36+1,"")</f>
        <v>44162</v>
      </c>
      <c r="O36" s="34">
        <f>IF(N36&lt;EOMONTH(J30,0),N36+1,"")</f>
        <v>44163</v>
      </c>
      <c r="P36" s="34">
        <f>IF(O36&lt;EOMONTH(J30,0),O36+1,"")</f>
        <v>44164</v>
      </c>
      <c r="Q36" s="5"/>
      <c r="R36" s="34">
        <f>IF(X35&lt;EOMONTH(R30,0),X35+1,"")</f>
        <v>44193</v>
      </c>
      <c r="S36" s="34">
        <f>IF(R36&lt;EOMONTH(R30,0),R36+1,"")</f>
        <v>44194</v>
      </c>
      <c r="T36" s="34">
        <f>IF(S36&lt;EOMONTH(R30,0),S36+1,"")</f>
        <v>44195</v>
      </c>
      <c r="U36" s="34">
        <f>IF(T36&lt;EOMONTH(R30,0),T36+1,"")</f>
        <v>44196</v>
      </c>
      <c r="V36" s="34" t="str">
        <f>IF(U36&lt;EOMONTH(R30,0),U36+1,"")</f>
        <v/>
      </c>
      <c r="W36" s="34" t="str">
        <f>IF(V36&lt;EOMONTH(R30,0),V36+1,"")</f>
        <v/>
      </c>
      <c r="X36" s="34" t="str">
        <f>IF(W36&lt;EOMONTH(R30,0),W36+1,"")</f>
        <v/>
      </c>
      <c r="AB36" s="51"/>
      <c r="AC36" s="51"/>
      <c r="AD36" s="52"/>
      <c r="AE36" s="38"/>
      <c r="AF36" s="38"/>
      <c r="AG36" s="39"/>
      <c r="AH36" s="38"/>
      <c r="AI36" s="38"/>
      <c r="AJ36" s="39"/>
      <c r="AK36" s="39"/>
      <c r="AL36" s="39"/>
    </row>
    <row r="37" spans="2:38">
      <c r="B37" s="34" t="str">
        <f>IF(H36&lt;EOMONTH(B30,0),H36+1,"")</f>
        <v/>
      </c>
      <c r="C37" s="34" t="str">
        <f>IF(B37&lt;EOMONTH(B30,0),B37+1,"")</f>
        <v/>
      </c>
      <c r="D37" s="34" t="str">
        <f>IF(C37&lt;EOMONTH(B30,0),C37+1,"")</f>
        <v/>
      </c>
      <c r="E37" s="34" t="str">
        <f>IF(D37&lt;EOMONTH(B30,0),D37+1,"")</f>
        <v/>
      </c>
      <c r="F37" s="34" t="str">
        <f>IF(E37&lt;EOMONTH(B30,0),E37+1,"")</f>
        <v/>
      </c>
      <c r="G37" s="34" t="str">
        <f>IF(F37&lt;EOMONTH(B30,0),F37+1,"")</f>
        <v/>
      </c>
      <c r="H37" s="34" t="str">
        <f>IF(G37&lt;EOMONTH(B30,0),G37+1,"")</f>
        <v/>
      </c>
      <c r="I37" s="5"/>
      <c r="J37" s="34">
        <f>IF(P36&lt;EOMONTH(J30,0),P36+1,"")</f>
        <v>44165</v>
      </c>
      <c r="K37" s="34" t="str">
        <f>IF(J37&lt;EOMONTH(J30,0),J37+1,"")</f>
        <v/>
      </c>
      <c r="L37" s="34" t="str">
        <f>IF(K37&lt;EOMONTH(J30,0),K37+1,"")</f>
        <v/>
      </c>
      <c r="M37" s="34" t="str">
        <f>IF(L37&lt;EOMONTH(J30,0),L37+1,"")</f>
        <v/>
      </c>
      <c r="N37" s="34" t="str">
        <f>IF(M37&lt;EOMONTH(J30,0),M37+1,"")</f>
        <v/>
      </c>
      <c r="O37" s="34" t="str">
        <f>IF(N37&lt;EOMONTH(J30,0),N37+1,"")</f>
        <v/>
      </c>
      <c r="P37" s="34" t="str">
        <f>IF(O37&lt;EOMONTH(J30,0),O37+1,"")</f>
        <v/>
      </c>
      <c r="Q37" s="5"/>
      <c r="R37" s="34" t="str">
        <f>IF(X36&lt;EOMONTH(R30,0),X36+1,"")</f>
        <v/>
      </c>
      <c r="S37" s="34" t="str">
        <f>IF(R37&lt;EOMONTH(R30,0),R37+1,"")</f>
        <v/>
      </c>
      <c r="T37" s="34" t="str">
        <f>IF(S37&lt;EOMONTH(R30,0),S37+1,"")</f>
        <v/>
      </c>
      <c r="U37" s="34" t="str">
        <f>IF(T37&lt;EOMONTH(R30,0),T37+1,"")</f>
        <v/>
      </c>
      <c r="V37" s="34" t="str">
        <f>IF(U37&lt;EOMONTH(R30,0),U37+1,"")</f>
        <v/>
      </c>
      <c r="W37" s="34" t="str">
        <f>IF(V37&lt;EOMONTH(R30,0),V37+1,"")</f>
        <v/>
      </c>
      <c r="X37" s="34" t="str">
        <f>IF(W37&lt;EOMONTH(R30,0),W37+1,"")</f>
        <v/>
      </c>
      <c r="AB37" s="52"/>
      <c r="AC37" s="52"/>
      <c r="AD37" s="51"/>
      <c r="AE37" s="38"/>
      <c r="AF37" s="38"/>
      <c r="AG37" s="39"/>
      <c r="AH37" s="38"/>
      <c r="AI37" s="38"/>
      <c r="AJ37" s="39"/>
      <c r="AK37" s="39"/>
      <c r="AL37" s="39"/>
    </row>
    <row r="38" spans="2:38">
      <c r="AB38" s="51"/>
      <c r="AC38" s="51"/>
      <c r="AD38" s="51"/>
      <c r="AE38" s="38"/>
      <c r="AF38" s="38"/>
      <c r="AG38" s="39"/>
      <c r="AH38" s="38"/>
      <c r="AI38" s="38"/>
      <c r="AJ38" s="39"/>
      <c r="AK38" s="39"/>
      <c r="AL38" s="39"/>
    </row>
    <row r="39" spans="2:38">
      <c r="AB39" s="51"/>
      <c r="AC39" s="51"/>
      <c r="AD39" s="40"/>
      <c r="AE39" s="38"/>
      <c r="AF39" s="38"/>
      <c r="AG39" s="39"/>
      <c r="AH39" s="38"/>
      <c r="AI39" s="38"/>
      <c r="AJ39" s="39"/>
      <c r="AK39" s="39"/>
      <c r="AL39" s="39"/>
    </row>
    <row r="40" spans="2:38">
      <c r="AB40" s="40"/>
      <c r="AC40" s="40"/>
      <c r="AD40" s="40"/>
      <c r="AE40" s="38"/>
      <c r="AF40" s="38"/>
      <c r="AG40" s="39"/>
      <c r="AH40" s="38"/>
      <c r="AI40" s="38"/>
      <c r="AJ40" s="39"/>
      <c r="AK40" s="39"/>
      <c r="AL40" s="39"/>
    </row>
    <row r="41" spans="2:38">
      <c r="AB41" s="41"/>
      <c r="AC41" s="41"/>
      <c r="AD41" s="40"/>
      <c r="AE41" s="38"/>
      <c r="AF41" s="42"/>
      <c r="AG41" s="39"/>
      <c r="AH41" s="43"/>
      <c r="AI41" s="43"/>
      <c r="AJ41" s="39"/>
      <c r="AK41" s="44"/>
      <c r="AL41" s="39"/>
    </row>
    <row r="42" spans="2:38">
      <c r="AB42" s="40"/>
      <c r="AC42" s="40"/>
      <c r="AD42" s="40"/>
      <c r="AE42" s="38"/>
      <c r="AF42" s="38"/>
      <c r="AG42" s="39"/>
      <c r="AH42" s="38"/>
      <c r="AI42" s="38"/>
      <c r="AJ42" s="39"/>
      <c r="AK42" s="39"/>
      <c r="AL42" s="39"/>
    </row>
    <row r="43" spans="2:38">
      <c r="AB43" s="40"/>
      <c r="AC43" s="40"/>
      <c r="AD43" s="45"/>
      <c r="AE43" s="38"/>
      <c r="AF43" s="46"/>
      <c r="AG43" s="39"/>
      <c r="AH43" s="38"/>
      <c r="AI43" s="38"/>
      <c r="AJ43" s="39"/>
      <c r="AK43" s="39"/>
      <c r="AL43" s="39"/>
    </row>
    <row r="44" spans="2:38">
      <c r="AB44" s="190"/>
      <c r="AC44" s="190"/>
      <c r="AD44" s="51"/>
      <c r="AE44" s="38"/>
      <c r="AF44" s="38"/>
      <c r="AG44" s="39"/>
      <c r="AH44" s="38"/>
      <c r="AI44" s="38"/>
      <c r="AJ44" s="39"/>
      <c r="AK44" s="39"/>
      <c r="AL44" s="48"/>
    </row>
    <row r="45" spans="2:38">
      <c r="AB45" s="47"/>
      <c r="AC45" s="51"/>
      <c r="AD45" s="51"/>
      <c r="AE45" s="38"/>
      <c r="AF45" s="38"/>
      <c r="AG45" s="39"/>
      <c r="AH45" s="38"/>
      <c r="AI45" s="38"/>
      <c r="AJ45" s="39"/>
      <c r="AK45" s="39"/>
      <c r="AL45" s="39"/>
    </row>
    <row r="46" spans="2:38">
      <c r="AB46" s="47"/>
      <c r="AC46" s="51"/>
      <c r="AD46" s="51"/>
      <c r="AE46" s="38"/>
      <c r="AF46" s="38"/>
      <c r="AG46" s="39"/>
      <c r="AH46" s="38"/>
      <c r="AI46" s="38"/>
      <c r="AJ46" s="39"/>
      <c r="AK46" s="39"/>
      <c r="AL46" s="39"/>
    </row>
    <row r="47" spans="2:38">
      <c r="AB47" s="47"/>
      <c r="AC47" s="51"/>
      <c r="AD47" s="51"/>
      <c r="AE47" s="38"/>
      <c r="AF47" s="38"/>
      <c r="AG47" s="39"/>
      <c r="AH47" s="38"/>
      <c r="AI47" s="38"/>
      <c r="AJ47" s="39"/>
      <c r="AK47" s="39"/>
      <c r="AL47" s="39"/>
    </row>
    <row r="48" spans="2:38">
      <c r="AB48" s="47"/>
      <c r="AC48" s="51"/>
      <c r="AD48" s="51"/>
      <c r="AE48" s="38"/>
      <c r="AF48" s="38"/>
      <c r="AG48" s="39"/>
      <c r="AH48" s="38"/>
      <c r="AI48" s="38"/>
      <c r="AJ48" s="39"/>
      <c r="AK48" s="39"/>
      <c r="AL48" s="39"/>
    </row>
    <row r="49" spans="28:38">
      <c r="AB49" s="47"/>
      <c r="AC49" s="51"/>
      <c r="AD49" s="51"/>
      <c r="AE49" s="38"/>
      <c r="AF49" s="38"/>
      <c r="AG49" s="39"/>
      <c r="AH49" s="38"/>
      <c r="AI49" s="38"/>
      <c r="AJ49" s="39"/>
      <c r="AK49" s="39"/>
      <c r="AL49" s="39"/>
    </row>
    <row r="50" spans="28:38">
      <c r="AB50" s="47"/>
      <c r="AC50" s="51"/>
      <c r="AD50" s="51"/>
      <c r="AE50" s="38"/>
      <c r="AF50" s="38"/>
      <c r="AG50" s="39"/>
      <c r="AH50" s="38"/>
      <c r="AI50" s="38"/>
      <c r="AJ50" s="39"/>
      <c r="AK50" s="39"/>
      <c r="AL50" s="39"/>
    </row>
    <row r="51" spans="28:38">
      <c r="AB51" s="47"/>
      <c r="AC51" s="51"/>
      <c r="AD51" s="51"/>
      <c r="AE51" s="38"/>
      <c r="AF51" s="38"/>
      <c r="AG51" s="39"/>
      <c r="AH51" s="38"/>
      <c r="AI51" s="38"/>
      <c r="AJ51" s="39"/>
      <c r="AK51" s="39"/>
      <c r="AL51" s="39"/>
    </row>
    <row r="52" spans="28:38">
      <c r="AB52" s="47"/>
      <c r="AC52" s="51"/>
      <c r="AD52" s="51"/>
      <c r="AE52" s="38"/>
      <c r="AF52" s="38"/>
      <c r="AG52" s="39"/>
      <c r="AH52" s="38"/>
      <c r="AI52" s="38"/>
      <c r="AJ52" s="39"/>
      <c r="AK52" s="39"/>
      <c r="AL52" s="39"/>
    </row>
    <row r="53" spans="28:38">
      <c r="AB53" s="47"/>
      <c r="AC53" s="51"/>
      <c r="AD53" s="51"/>
      <c r="AE53" s="38"/>
      <c r="AF53" s="38"/>
      <c r="AG53" s="39"/>
      <c r="AH53" s="38"/>
      <c r="AI53" s="38"/>
      <c r="AJ53" s="39"/>
      <c r="AK53" s="39"/>
      <c r="AL53" s="39"/>
    </row>
    <row r="54" spans="28:38">
      <c r="AB54" s="47"/>
      <c r="AC54" s="51"/>
      <c r="AD54" s="51"/>
      <c r="AE54" s="38"/>
      <c r="AF54" s="38"/>
      <c r="AG54" s="39"/>
      <c r="AH54" s="38"/>
      <c r="AI54" s="38"/>
      <c r="AJ54" s="39"/>
      <c r="AK54" s="39"/>
      <c r="AL54" s="39"/>
    </row>
    <row r="55" spans="28:38">
      <c r="AB55" s="47"/>
      <c r="AC55" s="51"/>
      <c r="AD55" s="51"/>
      <c r="AE55" s="38"/>
      <c r="AF55" s="38"/>
      <c r="AG55" s="39"/>
      <c r="AH55" s="38"/>
      <c r="AI55" s="38"/>
      <c r="AJ55" s="39"/>
      <c r="AK55" s="39"/>
      <c r="AL55" s="39"/>
    </row>
    <row r="56" spans="28:38">
      <c r="AB56" s="47"/>
      <c r="AC56" s="51"/>
      <c r="AD56" s="51"/>
      <c r="AE56" s="38"/>
      <c r="AF56" s="38"/>
      <c r="AG56" s="39"/>
      <c r="AH56" s="38"/>
      <c r="AI56" s="38"/>
      <c r="AJ56" s="39"/>
      <c r="AK56" s="39"/>
      <c r="AL56" s="39"/>
    </row>
    <row r="57" spans="28:38">
      <c r="AB57" s="47"/>
      <c r="AC57" s="51"/>
    </row>
    <row r="61" spans="28:38">
      <c r="AJ61" s="49"/>
    </row>
  </sheetData>
  <mergeCells count="28">
    <mergeCell ref="B12:H12"/>
    <mergeCell ref="J12:P12"/>
    <mergeCell ref="R12:X12"/>
    <mergeCell ref="B1:X1"/>
    <mergeCell ref="B3:H3"/>
    <mergeCell ref="J3:P3"/>
    <mergeCell ref="R3:X3"/>
    <mergeCell ref="AB3:AD3"/>
    <mergeCell ref="B21:H21"/>
    <mergeCell ref="J21:P21"/>
    <mergeCell ref="R21:X21"/>
    <mergeCell ref="B30:H30"/>
    <mergeCell ref="J30:P30"/>
    <mergeCell ref="R30:X30"/>
    <mergeCell ref="AB12:AE12"/>
    <mergeCell ref="AB11:AE11"/>
    <mergeCell ref="AB10:AE10"/>
    <mergeCell ref="AB9:AE9"/>
    <mergeCell ref="AB8:AE8"/>
    <mergeCell ref="AB7:AE7"/>
    <mergeCell ref="AB6:AE6"/>
    <mergeCell ref="AB5:AE5"/>
    <mergeCell ref="AB4:AE4"/>
    <mergeCell ref="AB44:AC44"/>
    <mergeCell ref="AB16:AE16"/>
    <mergeCell ref="AB15:AE15"/>
    <mergeCell ref="AB14:AE14"/>
    <mergeCell ref="AB13:AE13"/>
  </mergeCells>
  <conditionalFormatting sqref="B3:H3">
    <cfRule type="notContainsBlanks" dxfId="326" priority="25" stopIfTrue="1">
      <formula>LEN(TRIM(B3))&gt;0</formula>
    </cfRule>
  </conditionalFormatting>
  <conditionalFormatting sqref="B4:H10">
    <cfRule type="timePeriod" dxfId="325" priority="24" stopIfTrue="1" timePeriod="today">
      <formula>FLOOR(B4,1)=TODAY()</formula>
    </cfRule>
  </conditionalFormatting>
  <conditionalFormatting sqref="R31:X31">
    <cfRule type="timePeriod" dxfId="324" priority="23" stopIfTrue="1" timePeriod="today">
      <formula>FLOOR(R31,1)=TODAY()</formula>
    </cfRule>
  </conditionalFormatting>
  <conditionalFormatting sqref="J3:P3">
    <cfRule type="notContainsBlanks" dxfId="323" priority="22" stopIfTrue="1">
      <formula>LEN(TRIM(J3))&gt;0</formula>
    </cfRule>
  </conditionalFormatting>
  <conditionalFormatting sqref="R3:X3">
    <cfRule type="notContainsBlanks" dxfId="322" priority="21" stopIfTrue="1">
      <formula>LEN(TRIM(R3))&gt;0</formula>
    </cfRule>
  </conditionalFormatting>
  <conditionalFormatting sqref="B12:H12">
    <cfRule type="notContainsBlanks" dxfId="321" priority="20" stopIfTrue="1">
      <formula>LEN(TRIM(B12))&gt;0</formula>
    </cfRule>
  </conditionalFormatting>
  <conditionalFormatting sqref="J12:P12">
    <cfRule type="notContainsBlanks" dxfId="320" priority="19" stopIfTrue="1">
      <formula>LEN(TRIM(J12))&gt;0</formula>
    </cfRule>
  </conditionalFormatting>
  <conditionalFormatting sqref="R12:X12">
    <cfRule type="notContainsBlanks" dxfId="319" priority="18" stopIfTrue="1">
      <formula>LEN(TRIM(R12))&gt;0</formula>
    </cfRule>
  </conditionalFormatting>
  <conditionalFormatting sqref="B21:H21">
    <cfRule type="notContainsBlanks" dxfId="318" priority="17" stopIfTrue="1">
      <formula>LEN(TRIM(B21))&gt;0</formula>
    </cfRule>
  </conditionalFormatting>
  <conditionalFormatting sqref="J21:P21">
    <cfRule type="notContainsBlanks" dxfId="317" priority="16" stopIfTrue="1">
      <formula>LEN(TRIM(J21))&gt;0</formula>
    </cfRule>
  </conditionalFormatting>
  <conditionalFormatting sqref="R21:X21">
    <cfRule type="notContainsBlanks" dxfId="316" priority="15" stopIfTrue="1">
      <formula>LEN(TRIM(R21))&gt;0</formula>
    </cfRule>
  </conditionalFormatting>
  <conditionalFormatting sqref="B30:H30">
    <cfRule type="notContainsBlanks" dxfId="315" priority="14" stopIfTrue="1">
      <formula>LEN(TRIM(B30))&gt;0</formula>
    </cfRule>
  </conditionalFormatting>
  <conditionalFormatting sqref="J30:P30">
    <cfRule type="notContainsBlanks" dxfId="314" priority="13" stopIfTrue="1">
      <formula>LEN(TRIM(J30))&gt;0</formula>
    </cfRule>
  </conditionalFormatting>
  <conditionalFormatting sqref="R30:X30">
    <cfRule type="notContainsBlanks" dxfId="313" priority="12" stopIfTrue="1">
      <formula>LEN(TRIM(R30))&gt;0</formula>
    </cfRule>
  </conditionalFormatting>
  <conditionalFormatting sqref="R32:X37">
    <cfRule type="timePeriod" dxfId="312" priority="1" stopIfTrue="1" timePeriod="today">
      <formula>FLOOR(R32,1)=TODAY()</formula>
    </cfRule>
  </conditionalFormatting>
  <conditionalFormatting sqref="J5:P10">
    <cfRule type="timePeriod" dxfId="311" priority="11" stopIfTrue="1" timePeriod="today">
      <formula>FLOOR(J5,1)=TODAY()</formula>
    </cfRule>
  </conditionalFormatting>
  <conditionalFormatting sqref="R5:X10">
    <cfRule type="timePeriod" dxfId="310" priority="10" stopIfTrue="1" timePeriod="today">
      <formula>FLOOR(R5,1)=TODAY()</formula>
    </cfRule>
  </conditionalFormatting>
  <conditionalFormatting sqref="B14:H19">
    <cfRule type="timePeriod" dxfId="309" priority="9" stopIfTrue="1" timePeriod="today">
      <formula>FLOOR(B14,1)=TODAY()</formula>
    </cfRule>
  </conditionalFormatting>
  <conditionalFormatting sqref="J14:P19">
    <cfRule type="timePeriod" dxfId="308" priority="8" stopIfTrue="1" timePeriod="today">
      <formula>FLOOR(J14,1)=TODAY()</formula>
    </cfRule>
  </conditionalFormatting>
  <conditionalFormatting sqref="R14:X19">
    <cfRule type="timePeriod" dxfId="307" priority="7" stopIfTrue="1" timePeriod="today">
      <formula>FLOOR(R14,1)=TODAY()</formula>
    </cfRule>
  </conditionalFormatting>
  <conditionalFormatting sqref="B23:H28">
    <cfRule type="timePeriod" dxfId="306" priority="6" stopIfTrue="1" timePeriod="today">
      <formula>FLOOR(B23,1)=TODAY()</formula>
    </cfRule>
  </conditionalFormatting>
  <conditionalFormatting sqref="J23:P28">
    <cfRule type="timePeriod" dxfId="305" priority="5" stopIfTrue="1" timePeriod="today">
      <formula>FLOOR(J23,1)=TODAY()</formula>
    </cfRule>
  </conditionalFormatting>
  <conditionalFormatting sqref="R23:X28">
    <cfRule type="timePeriod" dxfId="304" priority="4" stopIfTrue="1" timePeriod="today">
      <formula>FLOOR(R23,1)=TODAY()</formula>
    </cfRule>
  </conditionalFormatting>
  <conditionalFormatting sqref="B32:H37">
    <cfRule type="timePeriod" dxfId="303" priority="3" stopIfTrue="1" timePeriod="today">
      <formula>FLOOR(B32,1)=TODAY()</formula>
    </cfRule>
  </conditionalFormatting>
  <conditionalFormatting sqref="J32:P37">
    <cfRule type="timePeriod" dxfId="302" priority="2" stopIfTrue="1" timePeriod="today">
      <formula>FLOOR(J32,1)=TODAY()</formula>
    </cfRule>
  </conditionalFormatting>
  <conditionalFormatting sqref="B5:H10 R32:X37 J5:P10 R5:X10 B14:H19 J14:P19 R14:X19 B23:H28 J23:P28 R23:X28 B32:H37 J32:P37">
    <cfRule type="expression" dxfId="301" priority="101" stopIfTrue="1">
      <formula>OR(B5=$AF$4,B5=$AF$5,B5=$AF$6,B5=$AF$7,B5=$AF$8,B5=$AF$10,B5=$AF$11,B5=$AF$12,B5=$AF$13,B5=$AF$14,B5=$AF$15)</formula>
    </cfRule>
    <cfRule type="containsBlanks" dxfId="300" priority="102" stopIfTrue="1">
      <formula>LEN(TRIM(B5))=0</formula>
    </cfRule>
    <cfRule type="notContainsBlanks" dxfId="299" priority="103" stopIfTrue="1">
      <formula>LEN(TRIM(B5))&gt;0</formula>
    </cfRule>
  </conditionalFormatting>
  <hyperlinks>
    <hyperlink ref="AB3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B1:AX77"/>
  <sheetViews>
    <sheetView showGridLines="0" topLeftCell="A4" zoomScaleNormal="100" workbookViewId="0">
      <selection activeCell="A2" sqref="A2:K2"/>
    </sheetView>
  </sheetViews>
  <sheetFormatPr baseColWidth="10" defaultColWidth="11.42578125" defaultRowHeight="15"/>
  <cols>
    <col min="1" max="1" width="11.42578125" style="76"/>
    <col min="2" max="2" width="0" style="76" hidden="1" customWidth="1"/>
    <col min="3" max="3" width="10.7109375" style="76" hidden="1" customWidth="1"/>
    <col min="4" max="34" width="5.7109375" style="77" customWidth="1"/>
    <col min="35" max="40" width="5.7109375" style="77" hidden="1" customWidth="1"/>
    <col min="41" max="42" width="5.7109375" style="76" hidden="1" customWidth="1"/>
    <col min="43" max="43" width="5.7109375" style="77" hidden="1" customWidth="1"/>
    <col min="44" max="48" width="5.7109375" style="76" hidden="1" customWidth="1"/>
    <col min="49" max="49" width="6.85546875" style="76" hidden="1" customWidth="1"/>
    <col min="50" max="50" width="5.7109375" style="76" hidden="1" customWidth="1"/>
    <col min="51" max="16384" width="11.42578125" style="76"/>
  </cols>
  <sheetData>
    <row r="1" spans="2:43" ht="15.75" thickBot="1"/>
    <row r="2" spans="2:43" s="129" customFormat="1" ht="15" customHeight="1" thickTop="1">
      <c r="D2" s="205">
        <v>2020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  <c r="Q2" s="130"/>
      <c r="R2" s="131"/>
      <c r="S2" s="205" t="s">
        <v>181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7"/>
      <c r="AI2" s="132"/>
      <c r="AJ2" s="132"/>
      <c r="AK2" s="132"/>
      <c r="AL2" s="132"/>
      <c r="AM2" s="132"/>
      <c r="AN2" s="132"/>
      <c r="AQ2" s="132"/>
    </row>
    <row r="3" spans="2:43" s="129" customFormat="1" ht="15" customHeight="1">
      <c r="D3" s="208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0"/>
      <c r="Q3" s="131"/>
      <c r="R3" s="131"/>
      <c r="S3" s="208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10"/>
      <c r="AI3" s="132"/>
      <c r="AJ3" s="132"/>
    </row>
    <row r="4" spans="2:43" s="129" customFormat="1" ht="15" customHeight="1">
      <c r="D4" s="208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10"/>
      <c r="Q4" s="131"/>
      <c r="R4" s="131"/>
      <c r="S4" s="208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10"/>
      <c r="AI4" s="132"/>
      <c r="AJ4" s="132"/>
    </row>
    <row r="5" spans="2:43" s="129" customFormat="1" ht="15" customHeight="1" thickBot="1">
      <c r="D5" s="211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3"/>
      <c r="Q5" s="131"/>
      <c r="R5" s="131"/>
      <c r="S5" s="211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3"/>
      <c r="AI5" s="132"/>
      <c r="AJ5" s="132"/>
    </row>
    <row r="6" spans="2:43" s="80" customFormat="1" ht="15" customHeight="1" thickTop="1" thickBot="1"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79"/>
      <c r="R6" s="79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78"/>
      <c r="AJ6" s="78"/>
    </row>
    <row r="7" spans="2:43" ht="16.5" thickTop="1" thickBot="1">
      <c r="E7" s="223" t="s">
        <v>96</v>
      </c>
      <c r="F7" s="224"/>
      <c r="G7" s="224"/>
      <c r="H7" s="224"/>
      <c r="I7" s="225"/>
      <c r="J7" s="149">
        <f>SUM(AI:AI)</f>
        <v>0</v>
      </c>
      <c r="L7" s="83"/>
      <c r="M7" s="230" t="s">
        <v>97</v>
      </c>
      <c r="N7" s="231"/>
      <c r="O7" s="231"/>
      <c r="P7" s="231"/>
      <c r="Q7" s="232"/>
      <c r="R7" s="84">
        <f>SUM(AJ:AJ)</f>
        <v>0</v>
      </c>
      <c r="U7" s="230" t="s">
        <v>98</v>
      </c>
      <c r="V7" s="231"/>
      <c r="W7" s="231"/>
      <c r="X7" s="232"/>
      <c r="Y7" s="85">
        <f>SUM(AK:AK)</f>
        <v>0</v>
      </c>
      <c r="AB7" s="230" t="s">
        <v>99</v>
      </c>
      <c r="AC7" s="231"/>
      <c r="AD7" s="231"/>
      <c r="AE7" s="232"/>
      <c r="AF7" s="82">
        <f>SUM(AL:AL)</f>
        <v>10</v>
      </c>
      <c r="AK7" s="76"/>
      <c r="AL7" s="76"/>
      <c r="AM7" s="76"/>
      <c r="AN7" s="76"/>
      <c r="AQ7" s="76"/>
    </row>
    <row r="8" spans="2:43" ht="15.75" customHeight="1" thickTop="1" thickBot="1">
      <c r="E8" s="86"/>
      <c r="F8" s="86"/>
      <c r="G8" s="86"/>
      <c r="H8" s="86"/>
      <c r="I8" s="86"/>
      <c r="J8" s="87"/>
      <c r="L8" s="83"/>
      <c r="M8" s="88"/>
      <c r="N8" s="88"/>
      <c r="O8" s="88"/>
      <c r="P8" s="88"/>
      <c r="Q8" s="88"/>
      <c r="R8" s="87"/>
      <c r="U8" s="89"/>
      <c r="V8" s="89"/>
      <c r="W8" s="89"/>
      <c r="X8" s="89"/>
      <c r="Y8" s="87"/>
      <c r="AB8" s="89"/>
      <c r="AC8" s="89"/>
      <c r="AD8" s="89"/>
      <c r="AE8" s="89"/>
      <c r="AF8" s="90"/>
      <c r="AK8" s="76"/>
      <c r="AL8" s="76"/>
      <c r="AM8" s="76"/>
      <c r="AN8" s="76"/>
      <c r="AQ8" s="76"/>
    </row>
    <row r="9" spans="2:43" ht="15.75" customHeight="1" thickTop="1" thickBot="1">
      <c r="E9" s="223" t="s">
        <v>106</v>
      </c>
      <c r="F9" s="224"/>
      <c r="G9" s="224"/>
      <c r="H9" s="224"/>
      <c r="I9" s="225"/>
      <c r="J9" s="91">
        <f>SUM(AM:AM)</f>
        <v>21</v>
      </c>
      <c r="L9" s="83"/>
      <c r="M9" s="233" t="s">
        <v>104</v>
      </c>
      <c r="N9" s="234"/>
      <c r="O9" s="234"/>
      <c r="P9" s="234"/>
      <c r="Q9" s="235"/>
      <c r="R9" s="143">
        <f>SUM(AN:AN)</f>
        <v>15</v>
      </c>
      <c r="U9" s="229" t="s">
        <v>105</v>
      </c>
      <c r="V9" s="231"/>
      <c r="W9" s="231"/>
      <c r="X9" s="232"/>
      <c r="Y9" s="92">
        <f>SUM(AO:AO)</f>
        <v>0</v>
      </c>
      <c r="AB9" s="229" t="s">
        <v>107</v>
      </c>
      <c r="AC9" s="231"/>
      <c r="AD9" s="231"/>
      <c r="AE9" s="232"/>
      <c r="AF9" s="93">
        <f>SUM(AP:AP)</f>
        <v>10</v>
      </c>
      <c r="AK9" s="76"/>
      <c r="AL9" s="76"/>
      <c r="AM9" s="76"/>
      <c r="AN9" s="76"/>
      <c r="AQ9" s="76"/>
    </row>
    <row r="10" spans="2:43" ht="15.75" customHeight="1" thickTop="1" thickBot="1">
      <c r="E10" s="86"/>
      <c r="F10" s="86"/>
      <c r="G10" s="86"/>
      <c r="H10" s="86"/>
      <c r="I10" s="86"/>
      <c r="J10" s="87"/>
      <c r="L10" s="83"/>
      <c r="M10" s="88"/>
      <c r="N10" s="88"/>
      <c r="O10" s="88"/>
      <c r="P10" s="88"/>
      <c r="Q10" s="88"/>
      <c r="R10" s="87"/>
      <c r="U10" s="89"/>
      <c r="V10" s="89"/>
      <c r="W10" s="89"/>
      <c r="X10" s="89"/>
      <c r="Y10" s="87"/>
      <c r="AB10" s="89"/>
      <c r="AC10" s="89"/>
      <c r="AD10" s="89"/>
      <c r="AE10" s="89"/>
      <c r="AF10" s="90"/>
      <c r="AK10" s="76"/>
      <c r="AL10" s="76"/>
      <c r="AM10" s="76"/>
      <c r="AN10" s="76"/>
      <c r="AQ10" s="76"/>
    </row>
    <row r="11" spans="2:43" ht="15.75" customHeight="1" thickTop="1" thickBot="1">
      <c r="E11" s="220" t="s">
        <v>108</v>
      </c>
      <c r="F11" s="221"/>
      <c r="G11" s="221"/>
      <c r="H11" s="221"/>
      <c r="I11" s="222"/>
      <c r="J11" s="94">
        <f>SUM(AQ:AQ)</f>
        <v>0</v>
      </c>
      <c r="L11" s="83"/>
      <c r="M11" s="226" t="s">
        <v>109</v>
      </c>
      <c r="N11" s="227"/>
      <c r="O11" s="227"/>
      <c r="P11" s="227"/>
      <c r="Q11" s="228"/>
      <c r="R11" s="95">
        <f>SUM(AR:AR)</f>
        <v>14</v>
      </c>
      <c r="U11" s="226" t="s">
        <v>110</v>
      </c>
      <c r="V11" s="227"/>
      <c r="W11" s="227"/>
      <c r="X11" s="228"/>
      <c r="Y11" s="96">
        <f>SUM(AS:AS)</f>
        <v>0</v>
      </c>
      <c r="AB11" s="229" t="s">
        <v>111</v>
      </c>
      <c r="AC11" s="227"/>
      <c r="AD11" s="227"/>
      <c r="AE11" s="228"/>
      <c r="AF11" s="97">
        <f>SUM(AT:AT)</f>
        <v>0</v>
      </c>
      <c r="AK11" s="76"/>
      <c r="AL11" s="76"/>
      <c r="AM11" s="76"/>
      <c r="AN11" s="76"/>
      <c r="AQ11" s="76"/>
    </row>
    <row r="12" spans="2:43" ht="15.75" customHeight="1" thickTop="1" thickBot="1">
      <c r="E12" s="89"/>
      <c r="F12" s="89"/>
      <c r="G12" s="89"/>
      <c r="H12" s="89"/>
      <c r="I12" s="89"/>
      <c r="J12" s="87"/>
      <c r="L12" s="83"/>
      <c r="M12" s="88"/>
      <c r="N12" s="88"/>
      <c r="O12" s="88"/>
      <c r="P12" s="88"/>
      <c r="Q12" s="88"/>
      <c r="R12" s="87"/>
      <c r="U12" s="89"/>
      <c r="V12" s="89"/>
      <c r="W12" s="89"/>
      <c r="X12" s="89"/>
      <c r="Y12" s="87"/>
      <c r="AB12" s="89"/>
      <c r="AC12" s="89"/>
      <c r="AD12" s="89"/>
      <c r="AE12" s="89"/>
      <c r="AF12" s="90"/>
      <c r="AK12" s="76"/>
      <c r="AL12" s="76"/>
      <c r="AM12" s="76"/>
      <c r="AN12" s="76"/>
      <c r="AQ12" s="76"/>
    </row>
    <row r="13" spans="2:43" ht="15.75" customHeight="1" thickTop="1" thickBot="1">
      <c r="E13" s="220" t="s">
        <v>117</v>
      </c>
      <c r="F13" s="221"/>
      <c r="G13" s="221"/>
      <c r="H13" s="221"/>
      <c r="I13" s="222"/>
      <c r="J13" s="144">
        <f>SUM(AU:AU)</f>
        <v>18</v>
      </c>
      <c r="L13" s="83"/>
      <c r="M13" s="226" t="s">
        <v>112</v>
      </c>
      <c r="N13" s="227"/>
      <c r="O13" s="227"/>
      <c r="P13" s="227"/>
      <c r="Q13" s="228"/>
      <c r="R13" s="98">
        <f>SUM(AV:AV)</f>
        <v>0</v>
      </c>
      <c r="S13" s="140"/>
      <c r="T13" s="141"/>
      <c r="U13" s="138" t="s">
        <v>100</v>
      </c>
      <c r="V13" s="139"/>
      <c r="W13" s="139"/>
      <c r="X13" s="139"/>
      <c r="Y13" s="99">
        <f>SUM(AX:AX)</f>
        <v>12</v>
      </c>
      <c r="AB13" s="229" t="s">
        <v>119</v>
      </c>
      <c r="AC13" s="227"/>
      <c r="AD13" s="227"/>
      <c r="AE13" s="228"/>
      <c r="AF13" s="148">
        <f>SUM(AW:AW)</f>
        <v>0</v>
      </c>
      <c r="AK13" s="76"/>
      <c r="AL13" s="76"/>
      <c r="AM13" s="76"/>
      <c r="AN13" s="76"/>
      <c r="AQ13" s="76"/>
    </row>
    <row r="14" spans="2:43" ht="16.5" thickTop="1" thickBot="1">
      <c r="L14" s="83"/>
      <c r="P14" s="100"/>
      <c r="Q14" s="100"/>
    </row>
    <row r="15" spans="2:43" ht="63.75" hidden="1" customHeight="1" thickBot="1">
      <c r="B15" s="76" t="s">
        <v>11</v>
      </c>
      <c r="C15" s="101">
        <f>DATE(D2,MONTH(1&amp;"/"&amp;D16),1)</f>
        <v>43831</v>
      </c>
      <c r="D15" s="102">
        <f>C15</f>
        <v>43831</v>
      </c>
      <c r="E15" s="102">
        <f>IFERROR(IF(D15+1&gt;$C$16,"",D15+1),"")</f>
        <v>43832</v>
      </c>
      <c r="F15" s="102">
        <f t="shared" ref="F15:AI15" si="0">IFERROR(IF(E15+1&gt;$C$16,"",E15+1),"")</f>
        <v>43833</v>
      </c>
      <c r="G15" s="102">
        <f t="shared" si="0"/>
        <v>43834</v>
      </c>
      <c r="H15" s="102">
        <f t="shared" si="0"/>
        <v>43835</v>
      </c>
      <c r="I15" s="102">
        <f t="shared" si="0"/>
        <v>43836</v>
      </c>
      <c r="J15" s="102">
        <f t="shared" si="0"/>
        <v>43837</v>
      </c>
      <c r="K15" s="102">
        <f t="shared" si="0"/>
        <v>43838</v>
      </c>
      <c r="L15" s="102">
        <f t="shared" si="0"/>
        <v>43839</v>
      </c>
      <c r="M15" s="102">
        <f t="shared" si="0"/>
        <v>43840</v>
      </c>
      <c r="N15" s="102">
        <f t="shared" si="0"/>
        <v>43841</v>
      </c>
      <c r="O15" s="102">
        <f t="shared" si="0"/>
        <v>43842</v>
      </c>
      <c r="P15" s="102">
        <f t="shared" si="0"/>
        <v>43843</v>
      </c>
      <c r="Q15" s="102">
        <f t="shared" si="0"/>
        <v>43844</v>
      </c>
      <c r="R15" s="102">
        <f t="shared" si="0"/>
        <v>43845</v>
      </c>
      <c r="S15" s="102">
        <f t="shared" si="0"/>
        <v>43846</v>
      </c>
      <c r="T15" s="102">
        <f t="shared" si="0"/>
        <v>43847</v>
      </c>
      <c r="U15" s="102">
        <f t="shared" si="0"/>
        <v>43848</v>
      </c>
      <c r="V15" s="102">
        <f t="shared" si="0"/>
        <v>43849</v>
      </c>
      <c r="W15" s="102">
        <f t="shared" si="0"/>
        <v>43850</v>
      </c>
      <c r="X15" s="102">
        <f t="shared" si="0"/>
        <v>43851</v>
      </c>
      <c r="Y15" s="102">
        <f t="shared" si="0"/>
        <v>43852</v>
      </c>
      <c r="Z15" s="102">
        <f t="shared" si="0"/>
        <v>43853</v>
      </c>
      <c r="AA15" s="102">
        <f t="shared" si="0"/>
        <v>43854</v>
      </c>
      <c r="AB15" s="102">
        <f t="shared" si="0"/>
        <v>43855</v>
      </c>
      <c r="AC15" s="102">
        <f t="shared" si="0"/>
        <v>43856</v>
      </c>
      <c r="AD15" s="102">
        <f t="shared" si="0"/>
        <v>43857</v>
      </c>
      <c r="AE15" s="102">
        <f t="shared" si="0"/>
        <v>43858</v>
      </c>
      <c r="AF15" s="102">
        <f t="shared" si="0"/>
        <v>43859</v>
      </c>
      <c r="AG15" s="102">
        <f t="shared" si="0"/>
        <v>43860</v>
      </c>
      <c r="AH15" s="102">
        <f t="shared" si="0"/>
        <v>43861</v>
      </c>
      <c r="AI15" s="102" t="str">
        <f t="shared" si="0"/>
        <v/>
      </c>
      <c r="AJ15" s="102"/>
    </row>
    <row r="16" spans="2:43" ht="24" thickBot="1">
      <c r="B16" s="76" t="s">
        <v>12</v>
      </c>
      <c r="C16" s="103">
        <f>EOMONTH(C15,0)</f>
        <v>43861</v>
      </c>
      <c r="D16" s="214" t="s">
        <v>13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6"/>
      <c r="AO16" s="77"/>
      <c r="AQ16" s="76"/>
    </row>
    <row r="17" spans="2:50">
      <c r="D17" s="104">
        <f>IFERROR(DAY(D15),"")</f>
        <v>1</v>
      </c>
      <c r="E17" s="105">
        <f t="shared" ref="E17:AH17" si="1">IFERROR(DAY(E15),"")</f>
        <v>2</v>
      </c>
      <c r="F17" s="105">
        <f t="shared" si="1"/>
        <v>3</v>
      </c>
      <c r="G17" s="105">
        <f t="shared" si="1"/>
        <v>4</v>
      </c>
      <c r="H17" s="105">
        <f t="shared" si="1"/>
        <v>5</v>
      </c>
      <c r="I17" s="105">
        <f t="shared" si="1"/>
        <v>6</v>
      </c>
      <c r="J17" s="105">
        <f t="shared" si="1"/>
        <v>7</v>
      </c>
      <c r="K17" s="105">
        <f t="shared" si="1"/>
        <v>8</v>
      </c>
      <c r="L17" s="105">
        <f t="shared" si="1"/>
        <v>9</v>
      </c>
      <c r="M17" s="105">
        <f t="shared" si="1"/>
        <v>10</v>
      </c>
      <c r="N17" s="105">
        <f t="shared" si="1"/>
        <v>11</v>
      </c>
      <c r="O17" s="105">
        <f t="shared" si="1"/>
        <v>12</v>
      </c>
      <c r="P17" s="105">
        <f t="shared" si="1"/>
        <v>13</v>
      </c>
      <c r="Q17" s="105">
        <f t="shared" si="1"/>
        <v>14</v>
      </c>
      <c r="R17" s="105">
        <f t="shared" si="1"/>
        <v>15</v>
      </c>
      <c r="S17" s="105">
        <f t="shared" si="1"/>
        <v>16</v>
      </c>
      <c r="T17" s="105">
        <f t="shared" si="1"/>
        <v>17</v>
      </c>
      <c r="U17" s="105">
        <f t="shared" si="1"/>
        <v>18</v>
      </c>
      <c r="V17" s="105">
        <f t="shared" si="1"/>
        <v>19</v>
      </c>
      <c r="W17" s="105">
        <f t="shared" si="1"/>
        <v>20</v>
      </c>
      <c r="X17" s="105">
        <f t="shared" si="1"/>
        <v>21</v>
      </c>
      <c r="Y17" s="105">
        <f t="shared" si="1"/>
        <v>22</v>
      </c>
      <c r="Z17" s="105">
        <f t="shared" si="1"/>
        <v>23</v>
      </c>
      <c r="AA17" s="105">
        <f t="shared" si="1"/>
        <v>24</v>
      </c>
      <c r="AB17" s="105">
        <f t="shared" si="1"/>
        <v>25</v>
      </c>
      <c r="AC17" s="105">
        <f t="shared" si="1"/>
        <v>26</v>
      </c>
      <c r="AD17" s="105">
        <f t="shared" si="1"/>
        <v>27</v>
      </c>
      <c r="AE17" s="105">
        <f t="shared" si="1"/>
        <v>28</v>
      </c>
      <c r="AF17" s="105">
        <f t="shared" si="1"/>
        <v>29</v>
      </c>
      <c r="AG17" s="105">
        <f t="shared" si="1"/>
        <v>30</v>
      </c>
      <c r="AH17" s="106">
        <f t="shared" si="1"/>
        <v>31</v>
      </c>
      <c r="AO17" s="77"/>
      <c r="AQ17" s="76"/>
    </row>
    <row r="18" spans="2:50">
      <c r="D18" s="107">
        <f>IFERROR(WEEKDAY(D15,1),"")</f>
        <v>4</v>
      </c>
      <c r="E18" s="108">
        <f t="shared" ref="E18:AH18" si="2">IFERROR(WEEKDAY(E15,1),"")</f>
        <v>5</v>
      </c>
      <c r="F18" s="108">
        <f t="shared" si="2"/>
        <v>6</v>
      </c>
      <c r="G18" s="108">
        <f t="shared" si="2"/>
        <v>7</v>
      </c>
      <c r="H18" s="108">
        <f t="shared" si="2"/>
        <v>1</v>
      </c>
      <c r="I18" s="108">
        <f t="shared" si="2"/>
        <v>2</v>
      </c>
      <c r="J18" s="108">
        <f t="shared" si="2"/>
        <v>3</v>
      </c>
      <c r="K18" s="108">
        <f t="shared" si="2"/>
        <v>4</v>
      </c>
      <c r="L18" s="108">
        <f t="shared" si="2"/>
        <v>5</v>
      </c>
      <c r="M18" s="108">
        <f t="shared" si="2"/>
        <v>6</v>
      </c>
      <c r="N18" s="108">
        <f t="shared" si="2"/>
        <v>7</v>
      </c>
      <c r="O18" s="108">
        <f t="shared" si="2"/>
        <v>1</v>
      </c>
      <c r="P18" s="108">
        <f t="shared" si="2"/>
        <v>2</v>
      </c>
      <c r="Q18" s="108">
        <f t="shared" si="2"/>
        <v>3</v>
      </c>
      <c r="R18" s="108">
        <f t="shared" si="2"/>
        <v>4</v>
      </c>
      <c r="S18" s="108">
        <f t="shared" si="2"/>
        <v>5</v>
      </c>
      <c r="T18" s="108">
        <f t="shared" si="2"/>
        <v>6</v>
      </c>
      <c r="U18" s="108">
        <f t="shared" si="2"/>
        <v>7</v>
      </c>
      <c r="V18" s="108">
        <f t="shared" si="2"/>
        <v>1</v>
      </c>
      <c r="W18" s="108">
        <f t="shared" si="2"/>
        <v>2</v>
      </c>
      <c r="X18" s="108">
        <f t="shared" si="2"/>
        <v>3</v>
      </c>
      <c r="Y18" s="108">
        <f t="shared" si="2"/>
        <v>4</v>
      </c>
      <c r="Z18" s="108">
        <f t="shared" si="2"/>
        <v>5</v>
      </c>
      <c r="AA18" s="108">
        <f t="shared" si="2"/>
        <v>6</v>
      </c>
      <c r="AB18" s="108">
        <f t="shared" si="2"/>
        <v>7</v>
      </c>
      <c r="AC18" s="108">
        <f t="shared" si="2"/>
        <v>1</v>
      </c>
      <c r="AD18" s="108">
        <f t="shared" si="2"/>
        <v>2</v>
      </c>
      <c r="AE18" s="108">
        <f t="shared" si="2"/>
        <v>3</v>
      </c>
      <c r="AF18" s="108">
        <f t="shared" si="2"/>
        <v>4</v>
      </c>
      <c r="AG18" s="108">
        <f t="shared" si="2"/>
        <v>5</v>
      </c>
      <c r="AH18" s="109">
        <f t="shared" si="2"/>
        <v>6</v>
      </c>
      <c r="AI18" s="150" t="s">
        <v>30</v>
      </c>
      <c r="AJ18" s="111" t="s">
        <v>90</v>
      </c>
      <c r="AK18" s="112" t="s">
        <v>91</v>
      </c>
      <c r="AL18" s="110" t="s">
        <v>92</v>
      </c>
      <c r="AM18" s="113" t="s">
        <v>93</v>
      </c>
      <c r="AN18" s="142" t="s">
        <v>102</v>
      </c>
      <c r="AO18" s="114" t="s">
        <v>33</v>
      </c>
      <c r="AP18" s="115" t="s">
        <v>28</v>
      </c>
      <c r="AQ18" s="116" t="s">
        <v>32</v>
      </c>
      <c r="AR18" s="117" t="s">
        <v>94</v>
      </c>
      <c r="AS18" s="118" t="s">
        <v>0</v>
      </c>
      <c r="AT18" s="119" t="s">
        <v>1</v>
      </c>
      <c r="AU18" s="145" t="s">
        <v>114</v>
      </c>
      <c r="AV18" s="120" t="s">
        <v>35</v>
      </c>
      <c r="AW18" s="146" t="s">
        <v>116</v>
      </c>
      <c r="AX18" s="121" t="s">
        <v>71</v>
      </c>
    </row>
    <row r="19" spans="2:50" ht="15.75" thickBot="1">
      <c r="D19" s="122" t="str">
        <f t="array" ref="D19">IF(OR(D18=1),"",IFERROR(INDEX(Tableau1[],MATCH(1,(PLANNING!D15&gt;=Tableau1[Date début])*(Tableau1[Date de fin]&gt;=PLANNING!D15)*(Tableau1[Nom]=PLANNING!$S$2),0),5),""))</f>
        <v/>
      </c>
      <c r="E19" s="123" t="str">
        <f t="array" ref="E19">IF(OR(E18=1),"",IFERROR(INDEX(Tableau1[],MATCH(1,(PLANNING!E15&gt;=Tableau1[Date début])*(Tableau1[Date de fin]&gt;=PLANNING!E15)*(Tableau1[Nom]=PLANNING!$S$2),0),5),""))</f>
        <v>CP</v>
      </c>
      <c r="F19" s="123" t="str">
        <f t="array" ref="F19">IF(OR(F18=1),"",IFERROR(INDEX(Tableau1[],MATCH(1,(PLANNING!F15&gt;=Tableau1[Date début])*(Tableau1[Date de fin]&gt;=PLANNING!F15)*(Tableau1[Nom]=PLANNING!$S$2),0),5),""))</f>
        <v>CP</v>
      </c>
      <c r="G19" s="123" t="str">
        <f t="array" ref="G19">IF(OR(G18=1),"",IFERROR(INDEX(Tableau1[],MATCH(1,(PLANNING!G15&gt;=Tableau1[Date début])*(Tableau1[Date de fin]&gt;=PLANNING!G15)*(Tableau1[Nom]=PLANNING!$S$2),0),5),""))</f>
        <v>CP</v>
      </c>
      <c r="H19" s="123" t="str">
        <f t="array" ref="H19">IF(OR(H18=1),"",IFERROR(INDEX(Tableau1[],MATCH(1,(PLANNING!H15&gt;=Tableau1[Date début])*(Tableau1[Date de fin]&gt;=PLANNING!H15)*(Tableau1[Nom]=PLANNING!$S$2),0),5),""))</f>
        <v/>
      </c>
      <c r="I19" s="123" t="str">
        <f t="array" ref="I19">IF(OR(I18=1),"",IFERROR(INDEX(Tableau1[],MATCH(1,(PLANNING!I15&gt;=Tableau1[Date début])*(Tableau1[Date de fin]&gt;=PLANNING!I15)*(Tableau1[Nom]=PLANNING!$S$2),0),5),""))</f>
        <v>CDT</v>
      </c>
      <c r="J19" s="123" t="str">
        <f t="array" ref="J19">IF(OR(J18=1),"",IFERROR(INDEX(Tableau1[],MATCH(1,(PLANNING!J15&gt;=Tableau1[Date début])*(Tableau1[Date de fin]&gt;=PLANNING!J15)*(Tableau1[Nom]=PLANNING!$S$2),0),5),""))</f>
        <v>CDT</v>
      </c>
      <c r="K19" s="123" t="str">
        <f t="array" ref="K19">IF(OR(K18=1),"",IFERROR(INDEX(Tableau1[],MATCH(1,(PLANNING!K15&gt;=Tableau1[Date début])*(Tableau1[Date de fin]&gt;=PLANNING!K15)*(Tableau1[Nom]=PLANNING!$S$2),0),5),""))</f>
        <v>CDT</v>
      </c>
      <c r="L19" s="123" t="str">
        <f t="array" ref="L19">IF(OR(L18=1),"",IFERROR(INDEX(Tableau1[],MATCH(1,(PLANNING!L15&gt;=Tableau1[Date début])*(Tableau1[Date de fin]&gt;=PLANNING!L15)*(Tableau1[Nom]=PLANNING!$S$2),0),5),""))</f>
        <v>CDT</v>
      </c>
      <c r="M19" s="123" t="str">
        <f t="array" ref="M19">IF(OR(M18=1),"",IFERROR(INDEX(Tableau1[],MATCH(1,(PLANNING!M15&gt;=Tableau1[Date début])*(Tableau1[Date de fin]&gt;=PLANNING!M15)*(Tableau1[Nom]=PLANNING!$S$2),0),5),""))</f>
        <v>CDT</v>
      </c>
      <c r="N19" s="123" t="str">
        <f t="array" ref="N19">IF(OR(N18=1),"",IFERROR(INDEX(Tableau1[],MATCH(1,(PLANNING!N15&gt;=Tableau1[Date début])*(Tableau1[Date de fin]&gt;=PLANNING!N15)*(Tableau1[Nom]=PLANNING!$S$2),0),5),""))</f>
        <v>REP</v>
      </c>
      <c r="O19" s="123" t="str">
        <f t="array" ref="O19">IF(OR(O18=1),"",IFERROR(INDEX(Tableau1[],MATCH(1,(PLANNING!O15&gt;=Tableau1[Date début])*(Tableau1[Date de fin]&gt;=PLANNING!O15)*(Tableau1[Nom]=PLANNING!$S$2),0),5),""))</f>
        <v/>
      </c>
      <c r="P19" s="123" t="str">
        <f t="array" ref="P19">IF(OR(P18=1),"",IFERROR(INDEX(Tableau1[],MATCH(1,(PLANNING!P15&gt;=Tableau1[Date début])*(Tableau1[Date de fin]&gt;=PLANNING!P15)*(Tableau1[Nom]=PLANNING!$S$2),0),5),""))</f>
        <v>CDT</v>
      </c>
      <c r="Q19" s="123" t="str">
        <f t="array" ref="Q19">IF(OR(Q18=1),"",IFERROR(INDEX(Tableau1[],MATCH(1,(PLANNING!Q15&gt;=Tableau1[Date début])*(Tableau1[Date de fin]&gt;=PLANNING!Q15)*(Tableau1[Nom]=PLANNING!$S$2),0),5),""))</f>
        <v>INF</v>
      </c>
      <c r="R19" s="123" t="str">
        <f t="array" ref="R19">IF(OR(R18=1),"",IFERROR(INDEX(Tableau1[],MATCH(1,(PLANNING!R15&gt;=Tableau1[Date début])*(Tableau1[Date de fin]&gt;=PLANNING!R15)*(Tableau1[Nom]=PLANNING!$S$2),0),5),""))</f>
        <v>CDT</v>
      </c>
      <c r="S19" s="123" t="str">
        <f t="array" ref="S19">IF(OR(S18=1),"",IFERROR(INDEX(Tableau1[],MATCH(1,(PLANNING!S15&gt;=Tableau1[Date début])*(Tableau1[Date de fin]&gt;=PLANNING!S15)*(Tableau1[Nom]=PLANNING!$S$2),0),5),""))</f>
        <v>INF</v>
      </c>
      <c r="T19" s="123" t="str">
        <f t="array" ref="T19">IF(OR(T18=1),"",IFERROR(INDEX(Tableau1[],MATCH(1,(PLANNING!T15&gt;=Tableau1[Date début])*(Tableau1[Date de fin]&gt;=PLANNING!T15)*(Tableau1[Nom]=PLANNING!$S$2),0),5),""))</f>
        <v>REP</v>
      </c>
      <c r="U19" s="123" t="str">
        <f t="array" ref="U19">IF(OR(U18=1),"",IFERROR(INDEX(Tableau1[],MATCH(1,(PLANNING!U15&gt;=Tableau1[Date début])*(Tableau1[Date de fin]&gt;=PLANNING!U15)*(Tableau1[Nom]=PLANNING!$S$2),0),5),""))</f>
        <v>CDT</v>
      </c>
      <c r="V19" s="123" t="str">
        <f t="array" ref="V19">IF(OR(V18=1),"",IFERROR(INDEX(Tableau1[],MATCH(1,(PLANNING!V15&gt;=Tableau1[Date début])*(Tableau1[Date de fin]&gt;=PLANNING!V15)*(Tableau1[Nom]=PLANNING!$S$2),0),5),""))</f>
        <v/>
      </c>
      <c r="W19" s="123" t="str">
        <f t="array" ref="W19">IF(OR(W18=1),"",IFERROR(INDEX(Tableau1[],MATCH(1,(PLANNING!W15&gt;=Tableau1[Date début])*(Tableau1[Date de fin]&gt;=PLANNING!W15)*(Tableau1[Nom]=PLANNING!$S$2),0),5),""))</f>
        <v>AR</v>
      </c>
      <c r="X19" s="123" t="str">
        <f t="array" ref="X19">IF(OR(X18=1),"",IFERROR(INDEX(Tableau1[],MATCH(1,(PLANNING!X15&gt;=Tableau1[Date début])*(Tableau1[Date de fin]&gt;=PLANNING!X15)*(Tableau1[Nom]=PLANNING!$S$2),0),5),""))</f>
        <v>AR</v>
      </c>
      <c r="Y19" s="123" t="str">
        <f t="array" ref="Y19">IF(OR(Y18=1),"",IFERROR(INDEX(Tableau1[],MATCH(1,(PLANNING!Y15&gt;=Tableau1[Date début])*(Tableau1[Date de fin]&gt;=PLANNING!Y15)*(Tableau1[Nom]=PLANNING!$S$2),0),5),""))</f>
        <v>AR</v>
      </c>
      <c r="Z19" s="123" t="str">
        <f t="array" ref="Z19">IF(OR(Z18=1),"",IFERROR(INDEX(Tableau1[],MATCH(1,(PLANNING!Z15&gt;=Tableau1[Date début])*(Tableau1[Date de fin]&gt;=PLANNING!Z15)*(Tableau1[Nom]=PLANNING!$S$2),0),5),""))</f>
        <v>AR</v>
      </c>
      <c r="AA19" s="123" t="str">
        <f t="array" ref="AA19">IF(OR(AA18=1),"",IFERROR(INDEX(Tableau1[],MATCH(1,(PLANNING!AA15&gt;=Tableau1[Date début])*(Tableau1[Date de fin]&gt;=PLANNING!AA15)*(Tableau1[Nom]=PLANNING!$S$2),0),5),""))</f>
        <v>AR</v>
      </c>
      <c r="AB19" s="123" t="str">
        <f t="array" ref="AB19">IF(OR(AB18=1),"",IFERROR(INDEX(Tableau1[],MATCH(1,(PLANNING!AB15&gt;=Tableau1[Date début])*(Tableau1[Date de fin]&gt;=PLANNING!AB15)*(Tableau1[Nom]=PLANNING!$S$2),0),5),""))</f>
        <v>REP</v>
      </c>
      <c r="AC19" s="123" t="str">
        <f t="array" ref="AC19">IF(OR(AC18=1),"",IFERROR(INDEX(Tableau1[],MATCH(1,(PLANNING!AC15&gt;=Tableau1[Date début])*(Tableau1[Date de fin]&gt;=PLANNING!AC15)*(Tableau1[Nom]=PLANNING!$S$2),0),5),""))</f>
        <v/>
      </c>
      <c r="AD19" s="123" t="str">
        <f t="array" ref="AD19">IF(OR(AD18=1),"",IFERROR(INDEX(Tableau1[],MATCH(1,(PLANNING!AD15&gt;=Tableau1[Date début])*(Tableau1[Date de fin]&gt;=PLANNING!AD15)*(Tableau1[Nom]=PLANNING!$S$2),0),5),""))</f>
        <v>AR</v>
      </c>
      <c r="AE19" s="123" t="str">
        <f t="array" ref="AE19">IF(OR(AE18=1),"",IFERROR(INDEX(Tableau1[],MATCH(1,(PLANNING!AE15&gt;=Tableau1[Date début])*(Tableau1[Date de fin]&gt;=PLANNING!AE15)*(Tableau1[Nom]=PLANNING!$S$2),0),5),""))</f>
        <v>AR</v>
      </c>
      <c r="AF19" s="123" t="str">
        <f t="array" ref="AF19">IF(OR(AF18=1),"",IFERROR(INDEX(Tableau1[],MATCH(1,(PLANNING!AF15&gt;=Tableau1[Date début])*(Tableau1[Date de fin]&gt;=PLANNING!AF15)*(Tableau1[Nom]=PLANNING!$S$2),0),5),""))</f>
        <v>AR</v>
      </c>
      <c r="AG19" s="123" t="str">
        <f t="array" ref="AG19">IF(OR(AG18=1),"",IFERROR(INDEX(Tableau1[],MATCH(1,(PLANNING!AG15&gt;=Tableau1[Date début])*(Tableau1[Date de fin]&gt;=PLANNING!AG15)*(Tableau1[Nom]=PLANNING!$S$2),0),5),""))</f>
        <v>AR</v>
      </c>
      <c r="AH19" s="124" t="str">
        <f t="array" ref="AH19">IF(OR(AH18=1),"",IFERROR(INDEX(Tableau1[],MATCH(1,(PLANNING!AH15&gt;=Tableau1[Date début])*(Tableau1[Date de fin]&gt;=PLANNING!AH15)*(Tableau1[Nom]=PLANNING!$S$2),0),5),""))</f>
        <v>AR</v>
      </c>
      <c r="AI19" s="77">
        <f>COUNTIF($D$19:$AH$19,AI18)</f>
        <v>0</v>
      </c>
      <c r="AJ19" s="77">
        <f t="shared" ref="AJ19" si="3">COUNTIF($D$19:$AH$19,AJ18)</f>
        <v>0</v>
      </c>
      <c r="AK19" s="77">
        <f>COUNTIF($D$19:$AH$19,AK18)</f>
        <v>0</v>
      </c>
      <c r="AL19" s="77">
        <f t="shared" ref="AL19" si="4">COUNTIF($D$19:$AH$19,AL18)</f>
        <v>10</v>
      </c>
      <c r="AM19" s="77">
        <f t="shared" ref="AM19" si="5">COUNTIF($D$19:$AH$19,AM18)</f>
        <v>0</v>
      </c>
      <c r="AN19" s="77">
        <f>COUNTIF($D$19:$AH$19,AN18)</f>
        <v>8</v>
      </c>
      <c r="AO19" s="77">
        <f t="shared" ref="AO19" si="6">COUNTIF($D$19:$AH$19,AO18)</f>
        <v>0</v>
      </c>
      <c r="AP19" s="77">
        <f t="shared" ref="AP19" si="7">COUNTIF($D$19:$AH$19,AP18)</f>
        <v>3</v>
      </c>
      <c r="AQ19" s="77">
        <f t="shared" ref="AQ19" si="8">COUNTIF($D$19:$AH$19,AQ18)</f>
        <v>0</v>
      </c>
      <c r="AR19" s="77">
        <f t="shared" ref="AR19" si="9">COUNTIF($D$19:$AH$19,AR18)</f>
        <v>2</v>
      </c>
      <c r="AS19" s="77">
        <f t="shared" ref="AS19:AV19" si="10">COUNTIF($D$19:$AH$19,AS18)</f>
        <v>0</v>
      </c>
      <c r="AT19" s="77">
        <f>COUNTIF($D$19:$AH$19,AT18)</f>
        <v>0</v>
      </c>
      <c r="AU19" s="77">
        <f>COUNTIF($D$19:$AH$19,AU18)</f>
        <v>3</v>
      </c>
      <c r="AV19" s="77">
        <f t="shared" si="10"/>
        <v>0</v>
      </c>
      <c r="AW19" s="77">
        <f>COUNTIF($D$19:$AH$19,AW18)</f>
        <v>0</v>
      </c>
      <c r="AX19" s="77">
        <f>CALENDRIER!AC19</f>
        <v>1</v>
      </c>
    </row>
    <row r="20" spans="2:50" ht="57" hidden="1" thickBot="1">
      <c r="B20" s="76" t="s">
        <v>11</v>
      </c>
      <c r="C20" s="101">
        <f>DATE($D$2,MONTH(1&amp;"/"&amp;D21),1)</f>
        <v>43862</v>
      </c>
      <c r="D20" s="102">
        <f>C20</f>
        <v>43862</v>
      </c>
      <c r="E20" s="102">
        <f>IFERROR(IF(D20+1&gt;$C$21,"",D20+1),"")</f>
        <v>43863</v>
      </c>
      <c r="F20" s="102">
        <f t="shared" ref="F20:AH20" si="11">IFERROR(IF(E20+1&gt;$C$21,"",E20+1),"")</f>
        <v>43864</v>
      </c>
      <c r="G20" s="102">
        <f t="shared" si="11"/>
        <v>43865</v>
      </c>
      <c r="H20" s="102">
        <f t="shared" si="11"/>
        <v>43866</v>
      </c>
      <c r="I20" s="102">
        <f t="shared" si="11"/>
        <v>43867</v>
      </c>
      <c r="J20" s="102">
        <f t="shared" si="11"/>
        <v>43868</v>
      </c>
      <c r="K20" s="102">
        <f t="shared" si="11"/>
        <v>43869</v>
      </c>
      <c r="L20" s="102">
        <f t="shared" si="11"/>
        <v>43870</v>
      </c>
      <c r="M20" s="102">
        <f t="shared" si="11"/>
        <v>43871</v>
      </c>
      <c r="N20" s="102">
        <f t="shared" si="11"/>
        <v>43872</v>
      </c>
      <c r="O20" s="102">
        <f t="shared" si="11"/>
        <v>43873</v>
      </c>
      <c r="P20" s="102">
        <f t="shared" si="11"/>
        <v>43874</v>
      </c>
      <c r="Q20" s="102">
        <f t="shared" si="11"/>
        <v>43875</v>
      </c>
      <c r="R20" s="102">
        <f t="shared" si="11"/>
        <v>43876</v>
      </c>
      <c r="S20" s="102">
        <f t="shared" si="11"/>
        <v>43877</v>
      </c>
      <c r="T20" s="102">
        <f t="shared" si="11"/>
        <v>43878</v>
      </c>
      <c r="U20" s="102">
        <f t="shared" si="11"/>
        <v>43879</v>
      </c>
      <c r="V20" s="102">
        <f t="shared" si="11"/>
        <v>43880</v>
      </c>
      <c r="W20" s="102">
        <f t="shared" si="11"/>
        <v>43881</v>
      </c>
      <c r="X20" s="102">
        <f t="shared" si="11"/>
        <v>43882</v>
      </c>
      <c r="Y20" s="102">
        <f t="shared" si="11"/>
        <v>43883</v>
      </c>
      <c r="Z20" s="102">
        <f t="shared" si="11"/>
        <v>43884</v>
      </c>
      <c r="AA20" s="102">
        <f t="shared" si="11"/>
        <v>43885</v>
      </c>
      <c r="AB20" s="102">
        <f t="shared" si="11"/>
        <v>43886</v>
      </c>
      <c r="AC20" s="102">
        <f t="shared" si="11"/>
        <v>43887</v>
      </c>
      <c r="AD20" s="102">
        <f t="shared" si="11"/>
        <v>43888</v>
      </c>
      <c r="AE20" s="102">
        <f t="shared" si="11"/>
        <v>43889</v>
      </c>
      <c r="AF20" s="102">
        <f t="shared" si="11"/>
        <v>43890</v>
      </c>
      <c r="AG20" s="102" t="str">
        <f t="shared" si="11"/>
        <v/>
      </c>
      <c r="AH20" s="102" t="str">
        <f t="shared" si="11"/>
        <v/>
      </c>
      <c r="AI20" s="102" t="str">
        <f t="shared" ref="AI20" si="12">IFERROR(IF(AH20+1&gt;$C$16,"",AH20+1),"")</f>
        <v/>
      </c>
      <c r="AJ20" s="102"/>
      <c r="AK20" s="102"/>
      <c r="AL20" s="102"/>
      <c r="AM20" s="102"/>
      <c r="AN20" s="102"/>
      <c r="AO20" s="102"/>
      <c r="AP20" s="77"/>
      <c r="AR20" s="77"/>
      <c r="AS20" s="77"/>
      <c r="AX20" s="77"/>
    </row>
    <row r="21" spans="2:50" ht="24" thickBot="1">
      <c r="B21" s="76" t="s">
        <v>12</v>
      </c>
      <c r="C21" s="103">
        <f>EOMONTH(C20,0)</f>
        <v>43890</v>
      </c>
      <c r="D21" s="214" t="s">
        <v>14</v>
      </c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6"/>
      <c r="AO21" s="77"/>
      <c r="AP21" s="77"/>
      <c r="AR21" s="77"/>
      <c r="AS21" s="77"/>
      <c r="AX21" s="77"/>
    </row>
    <row r="22" spans="2:50">
      <c r="D22" s="104">
        <f>IFERROR(DAY(D20),"")</f>
        <v>1</v>
      </c>
      <c r="E22" s="105">
        <f t="shared" ref="E22:AH22" si="13">IFERROR(DAY(E20),"")</f>
        <v>2</v>
      </c>
      <c r="F22" s="105">
        <f t="shared" si="13"/>
        <v>3</v>
      </c>
      <c r="G22" s="105">
        <f t="shared" si="13"/>
        <v>4</v>
      </c>
      <c r="H22" s="105">
        <f t="shared" si="13"/>
        <v>5</v>
      </c>
      <c r="I22" s="105">
        <f t="shared" si="13"/>
        <v>6</v>
      </c>
      <c r="J22" s="105">
        <f t="shared" si="13"/>
        <v>7</v>
      </c>
      <c r="K22" s="105">
        <f t="shared" si="13"/>
        <v>8</v>
      </c>
      <c r="L22" s="105">
        <f t="shared" si="13"/>
        <v>9</v>
      </c>
      <c r="M22" s="105">
        <f t="shared" si="13"/>
        <v>10</v>
      </c>
      <c r="N22" s="105">
        <f t="shared" si="13"/>
        <v>11</v>
      </c>
      <c r="O22" s="105">
        <f t="shared" si="13"/>
        <v>12</v>
      </c>
      <c r="P22" s="105">
        <f t="shared" si="13"/>
        <v>13</v>
      </c>
      <c r="Q22" s="105">
        <f t="shared" si="13"/>
        <v>14</v>
      </c>
      <c r="R22" s="105">
        <f t="shared" si="13"/>
        <v>15</v>
      </c>
      <c r="S22" s="105">
        <f t="shared" si="13"/>
        <v>16</v>
      </c>
      <c r="T22" s="105">
        <f t="shared" si="13"/>
        <v>17</v>
      </c>
      <c r="U22" s="105">
        <f t="shared" si="13"/>
        <v>18</v>
      </c>
      <c r="V22" s="105">
        <f t="shared" si="13"/>
        <v>19</v>
      </c>
      <c r="W22" s="105">
        <f t="shared" si="13"/>
        <v>20</v>
      </c>
      <c r="X22" s="105">
        <f t="shared" si="13"/>
        <v>21</v>
      </c>
      <c r="Y22" s="105">
        <f t="shared" si="13"/>
        <v>22</v>
      </c>
      <c r="Z22" s="105">
        <f t="shared" si="13"/>
        <v>23</v>
      </c>
      <c r="AA22" s="105">
        <f t="shared" si="13"/>
        <v>24</v>
      </c>
      <c r="AB22" s="105">
        <f t="shared" si="13"/>
        <v>25</v>
      </c>
      <c r="AC22" s="105">
        <f t="shared" si="13"/>
        <v>26</v>
      </c>
      <c r="AD22" s="105">
        <f t="shared" si="13"/>
        <v>27</v>
      </c>
      <c r="AE22" s="105">
        <f t="shared" si="13"/>
        <v>28</v>
      </c>
      <c r="AF22" s="105">
        <f t="shared" si="13"/>
        <v>29</v>
      </c>
      <c r="AG22" s="105" t="str">
        <f t="shared" si="13"/>
        <v/>
      </c>
      <c r="AH22" s="106" t="str">
        <f t="shared" si="13"/>
        <v/>
      </c>
      <c r="AO22" s="77"/>
      <c r="AP22" s="77"/>
      <c r="AR22" s="77"/>
      <c r="AS22" s="77"/>
      <c r="AX22" s="77"/>
    </row>
    <row r="23" spans="2:50">
      <c r="D23" s="107">
        <f>IFERROR(WEEKDAY(D20,1),"")</f>
        <v>7</v>
      </c>
      <c r="E23" s="108">
        <f t="shared" ref="E23:AH23" si="14">IFERROR(WEEKDAY(E20,1),"")</f>
        <v>1</v>
      </c>
      <c r="F23" s="108">
        <f t="shared" si="14"/>
        <v>2</v>
      </c>
      <c r="G23" s="108">
        <f t="shared" si="14"/>
        <v>3</v>
      </c>
      <c r="H23" s="108">
        <f t="shared" si="14"/>
        <v>4</v>
      </c>
      <c r="I23" s="108">
        <f t="shared" si="14"/>
        <v>5</v>
      </c>
      <c r="J23" s="108">
        <f t="shared" si="14"/>
        <v>6</v>
      </c>
      <c r="K23" s="108">
        <f t="shared" si="14"/>
        <v>7</v>
      </c>
      <c r="L23" s="108">
        <f t="shared" si="14"/>
        <v>1</v>
      </c>
      <c r="M23" s="108">
        <f t="shared" si="14"/>
        <v>2</v>
      </c>
      <c r="N23" s="108">
        <f t="shared" si="14"/>
        <v>3</v>
      </c>
      <c r="O23" s="108">
        <f t="shared" si="14"/>
        <v>4</v>
      </c>
      <c r="P23" s="108">
        <f t="shared" si="14"/>
        <v>5</v>
      </c>
      <c r="Q23" s="108">
        <f t="shared" si="14"/>
        <v>6</v>
      </c>
      <c r="R23" s="108">
        <f t="shared" si="14"/>
        <v>7</v>
      </c>
      <c r="S23" s="108">
        <f t="shared" si="14"/>
        <v>1</v>
      </c>
      <c r="T23" s="108">
        <f t="shared" si="14"/>
        <v>2</v>
      </c>
      <c r="U23" s="108">
        <f t="shared" si="14"/>
        <v>3</v>
      </c>
      <c r="V23" s="108">
        <f t="shared" si="14"/>
        <v>4</v>
      </c>
      <c r="W23" s="108">
        <f t="shared" si="14"/>
        <v>5</v>
      </c>
      <c r="X23" s="108">
        <f t="shared" si="14"/>
        <v>6</v>
      </c>
      <c r="Y23" s="108">
        <f t="shared" si="14"/>
        <v>7</v>
      </c>
      <c r="Z23" s="108">
        <f t="shared" si="14"/>
        <v>1</v>
      </c>
      <c r="AA23" s="108">
        <f t="shared" si="14"/>
        <v>2</v>
      </c>
      <c r="AB23" s="108">
        <f t="shared" si="14"/>
        <v>3</v>
      </c>
      <c r="AC23" s="108">
        <f t="shared" si="14"/>
        <v>4</v>
      </c>
      <c r="AD23" s="108">
        <f t="shared" si="14"/>
        <v>5</v>
      </c>
      <c r="AE23" s="108">
        <f t="shared" si="14"/>
        <v>6</v>
      </c>
      <c r="AF23" s="108">
        <f t="shared" si="14"/>
        <v>7</v>
      </c>
      <c r="AG23" s="108" t="str">
        <f t="shared" si="14"/>
        <v/>
      </c>
      <c r="AH23" s="109" t="str">
        <f t="shared" si="14"/>
        <v/>
      </c>
      <c r="AI23" s="150" t="s">
        <v>30</v>
      </c>
      <c r="AJ23" s="125" t="s">
        <v>90</v>
      </c>
      <c r="AK23" s="126" t="s">
        <v>91</v>
      </c>
      <c r="AL23" s="110" t="s">
        <v>92</v>
      </c>
      <c r="AM23" s="127" t="s">
        <v>93</v>
      </c>
      <c r="AN23" s="142" t="s">
        <v>102</v>
      </c>
      <c r="AO23" s="114" t="s">
        <v>33</v>
      </c>
      <c r="AP23" s="115" t="s">
        <v>28</v>
      </c>
      <c r="AQ23" s="116" t="s">
        <v>32</v>
      </c>
      <c r="AR23" s="128" t="s">
        <v>94</v>
      </c>
      <c r="AS23" s="118" t="s">
        <v>0</v>
      </c>
      <c r="AT23" s="119" t="s">
        <v>1</v>
      </c>
      <c r="AU23" s="145" t="s">
        <v>114</v>
      </c>
      <c r="AV23" s="120" t="s">
        <v>35</v>
      </c>
      <c r="AW23" s="146" t="s">
        <v>116</v>
      </c>
      <c r="AX23" s="121" t="s">
        <v>71</v>
      </c>
    </row>
    <row r="24" spans="2:50" ht="15.75" thickBot="1">
      <c r="D24" s="122" t="str">
        <f t="array" ref="D24">IF(OR(D23=1),"",IFERROR(INDEX(Tableau1[],MATCH(1,(PLANNING!D20&gt;=Tableau1[Date début])*(Tableau1[Date de fin]&gt;=PLANNING!D20)*(Tableau1[Nom]=PLANNING!$S$2),0),5),""))</f>
        <v>REP</v>
      </c>
      <c r="E24" s="123" t="str">
        <f t="array" ref="E24">IF(OR(E23=1),"",IFERROR(INDEX(Tableau1[],MATCH(1,(PLANNING!E20&gt;=Tableau1[Date début])*(Tableau1[Date de fin]&gt;=PLANNING!E20)*(Tableau1[Nom]=PLANNING!$S$2),0),5),""))</f>
        <v/>
      </c>
      <c r="F24" s="123" t="str">
        <f t="array" ref="F24">IF(OR(F23=1),"",IFERROR(INDEX(Tableau1[],MATCH(1,(PLANNING!F20&gt;=Tableau1[Date début])*(Tableau1[Date de fin]&gt;=PLANNING!F20)*(Tableau1[Nom]=PLANNING!$S$2),0),5),""))</f>
        <v>CDT</v>
      </c>
      <c r="G24" s="123" t="str">
        <f t="array" ref="G24">IF(OR(G23=1),"",IFERROR(INDEX(Tableau1[],MATCH(1,(PLANNING!G20&gt;=Tableau1[Date début])*(Tableau1[Date de fin]&gt;=PLANNING!G20)*(Tableau1[Nom]=PLANNING!$S$2),0),5),""))</f>
        <v>INF</v>
      </c>
      <c r="H24" s="123" t="str">
        <f t="array" ref="H24">IF(OR(H23=1),"",IFERROR(INDEX(Tableau1[],MATCH(1,(PLANNING!H20&gt;=Tableau1[Date début])*(Tableau1[Date de fin]&gt;=PLANNING!H20)*(Tableau1[Nom]=PLANNING!$S$2),0),5),""))</f>
        <v>CDT</v>
      </c>
      <c r="I24" s="123" t="str">
        <f t="array" ref="I24">IF(OR(I23=1),"",IFERROR(INDEX(Tableau1[],MATCH(1,(PLANNING!I20&gt;=Tableau1[Date début])*(Tableau1[Date de fin]&gt;=PLANNING!I20)*(Tableau1[Nom]=PLANNING!$S$2),0),5),""))</f>
        <v>REP</v>
      </c>
      <c r="J24" s="123" t="str">
        <f t="array" ref="J24">IF(OR(J23=1),"",IFERROR(INDEX(Tableau1[],MATCH(1,(PLANNING!J20&gt;=Tableau1[Date début])*(Tableau1[Date de fin]&gt;=PLANNING!J20)*(Tableau1[Nom]=PLANNING!$S$2),0),5),""))</f>
        <v>INF</v>
      </c>
      <c r="K24" s="123" t="str">
        <f t="array" ref="K24">IF(OR(K23=1),"",IFERROR(INDEX(Tableau1[],MATCH(1,(PLANNING!K20&gt;=Tableau1[Date début])*(Tableau1[Date de fin]&gt;=PLANNING!K20)*(Tableau1[Nom]=PLANNING!$S$2),0),5),""))</f>
        <v>REP</v>
      </c>
      <c r="L24" s="123" t="str">
        <f t="array" ref="L24">IF(OR(L23=1),"",IFERROR(INDEX(Tableau1[],MATCH(1,(PLANNING!L20&gt;=Tableau1[Date début])*(Tableau1[Date de fin]&gt;=PLANNING!L20)*(Tableau1[Nom]=PLANNING!$S$2),0),5),""))</f>
        <v/>
      </c>
      <c r="M24" s="123" t="str">
        <f t="array" ref="M24">IF(OR(M23=1),"",IFERROR(INDEX(Tableau1[],MATCH(1,(PLANNING!M20&gt;=Tableau1[Date début])*(Tableau1[Date de fin]&gt;=PLANNING!M20)*(Tableau1[Nom]=PLANNING!$S$2),0),5),""))</f>
        <v>CDT</v>
      </c>
      <c r="N24" s="123" t="str">
        <f t="array" ref="N24">IF(OR(N23=1),"",IFERROR(INDEX(Tableau1[],MATCH(1,(PLANNING!N20&gt;=Tableau1[Date début])*(Tableau1[Date de fin]&gt;=PLANNING!N20)*(Tableau1[Nom]=PLANNING!$S$2),0),5),""))</f>
        <v>INF</v>
      </c>
      <c r="O24" s="123" t="str">
        <f t="array" ref="O24">IF(OR(O23=1),"",IFERROR(INDEX(Tableau1[],MATCH(1,(PLANNING!O20&gt;=Tableau1[Date début])*(Tableau1[Date de fin]&gt;=PLANNING!O20)*(Tableau1[Nom]=PLANNING!$S$2),0),5),""))</f>
        <v>CDT</v>
      </c>
      <c r="P24" s="123" t="str">
        <f t="array" ref="P24">IF(OR(P23=1),"",IFERROR(INDEX(Tableau1[],MATCH(1,(PLANNING!P20&gt;=Tableau1[Date début])*(Tableau1[Date de fin]&gt;=PLANNING!P20)*(Tableau1[Nom]=PLANNING!$S$2),0),5),""))</f>
        <v>INF</v>
      </c>
      <c r="Q24" s="123" t="str">
        <f t="array" ref="Q24">IF(OR(Q23=1),"",IFERROR(INDEX(Tableau1[],MATCH(1,(PLANNING!Q20&gt;=Tableau1[Date début])*(Tableau1[Date de fin]&gt;=PLANNING!Q20)*(Tableau1[Nom]=PLANNING!$S$2),0),5),""))</f>
        <v>CDT</v>
      </c>
      <c r="R24" s="123" t="str">
        <f t="array" ref="R24">IF(OR(R23=1),"",IFERROR(INDEX(Tableau1[],MATCH(1,(PLANNING!R20&gt;=Tableau1[Date début])*(Tableau1[Date de fin]&gt;=PLANNING!R20)*(Tableau1[Nom]=PLANNING!$S$2),0),5),""))</f>
        <v>REP</v>
      </c>
      <c r="S24" s="123" t="str">
        <f t="array" ref="S24">IF(OR(S23=1),"",IFERROR(INDEX(Tableau1[],MATCH(1,(PLANNING!S20&gt;=Tableau1[Date début])*(Tableau1[Date de fin]&gt;=PLANNING!S20)*(Tableau1[Nom]=PLANNING!$S$2),0),5),""))</f>
        <v/>
      </c>
      <c r="T24" s="123" t="str">
        <f t="array" ref="T24">IF(OR(T23=1),"",IFERROR(INDEX(Tableau1[],MATCH(1,(PLANNING!T20&gt;=Tableau1[Date début])*(Tableau1[Date de fin]&gt;=PLANNING!T20)*(Tableau1[Nom]=PLANNING!$S$2),0),5),""))</f>
        <v>REP</v>
      </c>
      <c r="U24" s="123" t="str">
        <f t="array" ref="U24">IF(OR(U23=1),"",IFERROR(INDEX(Tableau1[],MATCH(1,(PLANNING!U20&gt;=Tableau1[Date début])*(Tableau1[Date de fin]&gt;=PLANNING!U20)*(Tableau1[Nom]=PLANNING!$S$2),0),5),""))</f>
        <v>CDT</v>
      </c>
      <c r="V24" s="123" t="str">
        <f t="array" ref="V24">IF(OR(V23=1),"",IFERROR(INDEX(Tableau1[],MATCH(1,(PLANNING!V20&gt;=Tableau1[Date début])*(Tableau1[Date de fin]&gt;=PLANNING!V20)*(Tableau1[Nom]=PLANNING!$S$2),0),5),""))</f>
        <v>INF</v>
      </c>
      <c r="W24" s="123" t="str">
        <f t="array" ref="W24">IF(OR(W23=1),"",IFERROR(INDEX(Tableau1[],MATCH(1,(PLANNING!W20&gt;=Tableau1[Date début])*(Tableau1[Date de fin]&gt;=PLANNING!W20)*(Tableau1[Nom]=PLANNING!$S$2),0),5),""))</f>
        <v>CDT</v>
      </c>
      <c r="X24" s="123" t="str">
        <f t="array" ref="X24">IF(OR(X23=1),"",IFERROR(INDEX(Tableau1[],MATCH(1,(PLANNING!X20&gt;=Tableau1[Date début])*(Tableau1[Date de fin]&gt;=PLANNING!X20)*(Tableau1[Nom]=PLANNING!$S$2),0),5),""))</f>
        <v>INF</v>
      </c>
      <c r="Y24" s="123" t="str">
        <f t="array" ref="Y24">IF(OR(Y23=1),"",IFERROR(INDEX(Tableau1[],MATCH(1,(PLANNING!Y20&gt;=Tableau1[Date début])*(Tableau1[Date de fin]&gt;=PLANNING!Y20)*(Tableau1[Nom]=PLANNING!$S$2),0),5),""))</f>
        <v>CDT</v>
      </c>
      <c r="Z24" s="123" t="str">
        <f t="array" ref="Z24">IF(OR(Z23=1),"",IFERROR(INDEX(Tableau1[],MATCH(1,(PLANNING!Z20&gt;=Tableau1[Date début])*(Tableau1[Date de fin]&gt;=PLANNING!Z20)*(Tableau1[Nom]=PLANNING!$S$2),0),5),""))</f>
        <v/>
      </c>
      <c r="AA24" s="123" t="str">
        <f t="array" ref="AA24">IF(OR(AA23=1),"",IFERROR(INDEX(Tableau1[],MATCH(1,(PLANNING!AA20&gt;=Tableau1[Date début])*(Tableau1[Date de fin]&gt;=PLANNING!AA20)*(Tableau1[Nom]=PLANNING!$S$2),0),5),""))</f>
        <v>CDT</v>
      </c>
      <c r="AB24" s="123" t="str">
        <f t="array" ref="AB24">IF(OR(AB23=1),"",IFERROR(INDEX(Tableau1[],MATCH(1,(PLANNING!AB20&gt;=Tableau1[Date début])*(Tableau1[Date de fin]&gt;=PLANNING!AB20)*(Tableau1[Nom]=PLANNING!$S$2),0),5),""))</f>
        <v>INF</v>
      </c>
      <c r="AC24" s="123" t="str">
        <f t="array" ref="AC24">IF(OR(AC23=1),"",IFERROR(INDEX(Tableau1[],MATCH(1,(PLANNING!AC20&gt;=Tableau1[Date début])*(Tableau1[Date de fin]&gt;=PLANNING!AC20)*(Tableau1[Nom]=PLANNING!$S$2),0),5),""))</f>
        <v>REP</v>
      </c>
      <c r="AD24" s="123" t="str">
        <f t="array" ref="AD24">IF(OR(AD23=1),"",IFERROR(INDEX(Tableau1[],MATCH(1,(PLANNING!AD20&gt;=Tableau1[Date début])*(Tableau1[Date de fin]&gt;=PLANNING!AD20)*(Tableau1[Nom]=PLANNING!$S$2),0),5),""))</f>
        <v>INF</v>
      </c>
      <c r="AE24" s="123" t="str">
        <f t="array" ref="AE24">IF(OR(AE23=1),"",IFERROR(INDEX(Tableau1[],MATCH(1,(PLANNING!AE20&gt;=Tableau1[Date début])*(Tableau1[Date de fin]&gt;=PLANNING!AE20)*(Tableau1[Nom]=PLANNING!$S$2),0),5),""))</f>
        <v>CP</v>
      </c>
      <c r="AF24" s="123" t="str">
        <f t="array" ref="AF24">IF(OR(AF23=1),"",IFERROR(INDEX(Tableau1[],MATCH(1,(PLANNING!AF20&gt;=Tableau1[Date début])*(Tableau1[Date de fin]&gt;=PLANNING!AF20)*(Tableau1[Nom]=PLANNING!$S$2),0),5),""))</f>
        <v>CP</v>
      </c>
      <c r="AG24" s="123" t="str">
        <f t="array" ref="AG24">IF(OR(AG23=1),"",IFERROR(INDEX(Tableau1[],MATCH(1,(PLANNING!AG20&gt;=Tableau1[Date début])*(Tableau1[Date de fin]&gt;=PLANNING!AG20)*(Tableau1[Nom]=PLANNING!$S$2),0),5),""))</f>
        <v/>
      </c>
      <c r="AH24" s="124" t="str">
        <f t="array" ref="AH24">IF(OR(AH23=1),"",IFERROR(INDEX(Tableau1[],MATCH(1,(PLANNING!AH20&gt;=Tableau1[Date début])*(Tableau1[Date de fin]&gt;=PLANNING!AH20)*(Tableau1[Nom]=PLANNING!$S$2),0),5),""))</f>
        <v/>
      </c>
      <c r="AI24" s="77">
        <f>COUNTIF($D$24:$AH$24,AI23)</f>
        <v>0</v>
      </c>
      <c r="AJ24" s="77">
        <f t="shared" ref="AJ24:AR24" si="15">COUNTIF($D$24:$AH$24,AJ23)</f>
        <v>0</v>
      </c>
      <c r="AK24" s="77">
        <f t="shared" si="15"/>
        <v>0</v>
      </c>
      <c r="AL24" s="77">
        <f t="shared" si="15"/>
        <v>0</v>
      </c>
      <c r="AM24" s="77">
        <f>COUNTIF($D$24:$AH$24,AM23)</f>
        <v>0</v>
      </c>
      <c r="AN24" s="77">
        <f>COUNTIF($D$24:$AH$24,An_ref23)</f>
        <v>0</v>
      </c>
      <c r="AO24" s="77">
        <f t="shared" si="15"/>
        <v>0</v>
      </c>
      <c r="AP24" s="77">
        <f t="shared" si="15"/>
        <v>2</v>
      </c>
      <c r="AQ24" s="77">
        <f t="shared" si="15"/>
        <v>0</v>
      </c>
      <c r="AR24" s="77">
        <f t="shared" si="15"/>
        <v>8</v>
      </c>
      <c r="AS24" s="77">
        <f t="shared" ref="AS24:AV24" si="16">COUNTIF($D$24:$AH$24,AS23)</f>
        <v>0</v>
      </c>
      <c r="AT24" s="77">
        <f>COUNTIF($D$24:$AH$24,AT23)</f>
        <v>0</v>
      </c>
      <c r="AU24" s="77">
        <f>COUNTIF($D$24:$AH$24,AU23)</f>
        <v>6</v>
      </c>
      <c r="AV24" s="77">
        <f t="shared" si="16"/>
        <v>0</v>
      </c>
      <c r="AW24" s="77">
        <f>COUNTIF($D$24:$AH$24,AW23)</f>
        <v>0</v>
      </c>
      <c r="AX24" s="77">
        <f>CALENDRIER!AC20</f>
        <v>0</v>
      </c>
    </row>
    <row r="25" spans="2:50" ht="57" hidden="1" customHeight="1" thickBot="1">
      <c r="B25" s="76" t="s">
        <v>11</v>
      </c>
      <c r="C25" s="101">
        <f>DATE($D$2,MONTH(1&amp;"/"&amp;D26),1)</f>
        <v>43891</v>
      </c>
      <c r="D25" s="102">
        <f>C25</f>
        <v>43891</v>
      </c>
      <c r="E25" s="102">
        <f>IFERROR(IF(D25+1&gt;$C$26,"",D25+1),"")</f>
        <v>43892</v>
      </c>
      <c r="F25" s="102">
        <f t="shared" ref="F25:AH25" si="17">IFERROR(IF(E25+1&gt;$C$26,"",E25+1),"")</f>
        <v>43893</v>
      </c>
      <c r="G25" s="102">
        <f t="shared" si="17"/>
        <v>43894</v>
      </c>
      <c r="H25" s="102">
        <f t="shared" si="17"/>
        <v>43895</v>
      </c>
      <c r="I25" s="102">
        <f t="shared" si="17"/>
        <v>43896</v>
      </c>
      <c r="J25" s="102">
        <f t="shared" si="17"/>
        <v>43897</v>
      </c>
      <c r="K25" s="102">
        <f t="shared" si="17"/>
        <v>43898</v>
      </c>
      <c r="L25" s="102">
        <f t="shared" si="17"/>
        <v>43899</v>
      </c>
      <c r="M25" s="102">
        <f t="shared" si="17"/>
        <v>43900</v>
      </c>
      <c r="N25" s="102">
        <f t="shared" si="17"/>
        <v>43901</v>
      </c>
      <c r="O25" s="102">
        <f t="shared" si="17"/>
        <v>43902</v>
      </c>
      <c r="P25" s="102">
        <f t="shared" si="17"/>
        <v>43903</v>
      </c>
      <c r="Q25" s="102">
        <f t="shared" si="17"/>
        <v>43904</v>
      </c>
      <c r="R25" s="102">
        <f t="shared" si="17"/>
        <v>43905</v>
      </c>
      <c r="S25" s="102">
        <f t="shared" si="17"/>
        <v>43906</v>
      </c>
      <c r="T25" s="102">
        <f t="shared" si="17"/>
        <v>43907</v>
      </c>
      <c r="U25" s="102">
        <f t="shared" si="17"/>
        <v>43908</v>
      </c>
      <c r="V25" s="102">
        <f t="shared" si="17"/>
        <v>43909</v>
      </c>
      <c r="W25" s="102">
        <f t="shared" si="17"/>
        <v>43910</v>
      </c>
      <c r="X25" s="102">
        <f t="shared" si="17"/>
        <v>43911</v>
      </c>
      <c r="Y25" s="102">
        <f t="shared" si="17"/>
        <v>43912</v>
      </c>
      <c r="Z25" s="102">
        <f t="shared" si="17"/>
        <v>43913</v>
      </c>
      <c r="AA25" s="102">
        <f t="shared" si="17"/>
        <v>43914</v>
      </c>
      <c r="AB25" s="102">
        <f t="shared" si="17"/>
        <v>43915</v>
      </c>
      <c r="AC25" s="102">
        <f t="shared" si="17"/>
        <v>43916</v>
      </c>
      <c r="AD25" s="102">
        <f t="shared" si="17"/>
        <v>43917</v>
      </c>
      <c r="AE25" s="102">
        <f t="shared" si="17"/>
        <v>43918</v>
      </c>
      <c r="AF25" s="102">
        <f t="shared" si="17"/>
        <v>43919</v>
      </c>
      <c r="AG25" s="102">
        <f t="shared" si="17"/>
        <v>43920</v>
      </c>
      <c r="AH25" s="102">
        <f t="shared" si="17"/>
        <v>43921</v>
      </c>
      <c r="AI25" s="102" t="str">
        <f t="shared" ref="AI25" si="18">IFERROR(IF(AH25+1&gt;$C$16,"",AH25+1),"")</f>
        <v/>
      </c>
      <c r="AJ25" s="102"/>
      <c r="AK25" s="102"/>
      <c r="AL25" s="102"/>
      <c r="AM25" s="102"/>
      <c r="AN25" s="102"/>
      <c r="AO25" s="102"/>
      <c r="AP25" s="77"/>
      <c r="AR25" s="77"/>
      <c r="AS25" s="77"/>
      <c r="AX25" s="77"/>
    </row>
    <row r="26" spans="2:50" ht="24" thickBot="1">
      <c r="B26" s="76" t="s">
        <v>12</v>
      </c>
      <c r="C26" s="103">
        <f>EOMONTH(C25,0)</f>
        <v>43921</v>
      </c>
      <c r="D26" s="217" t="s">
        <v>15</v>
      </c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9"/>
      <c r="AO26" s="77"/>
      <c r="AP26" s="77"/>
      <c r="AR26" s="77"/>
      <c r="AS26" s="77"/>
      <c r="AX26" s="77"/>
    </row>
    <row r="27" spans="2:50">
      <c r="D27" s="104">
        <f>IFERROR(DAY(D25),"")</f>
        <v>1</v>
      </c>
      <c r="E27" s="105">
        <f t="shared" ref="E27:AH27" si="19">IFERROR(DAY(E25),"")</f>
        <v>2</v>
      </c>
      <c r="F27" s="105">
        <f t="shared" si="19"/>
        <v>3</v>
      </c>
      <c r="G27" s="105">
        <f t="shared" si="19"/>
        <v>4</v>
      </c>
      <c r="H27" s="105">
        <f t="shared" si="19"/>
        <v>5</v>
      </c>
      <c r="I27" s="105">
        <f t="shared" si="19"/>
        <v>6</v>
      </c>
      <c r="J27" s="105">
        <f t="shared" si="19"/>
        <v>7</v>
      </c>
      <c r="K27" s="105">
        <f t="shared" si="19"/>
        <v>8</v>
      </c>
      <c r="L27" s="105">
        <f t="shared" si="19"/>
        <v>9</v>
      </c>
      <c r="M27" s="105">
        <f t="shared" si="19"/>
        <v>10</v>
      </c>
      <c r="N27" s="105">
        <f t="shared" si="19"/>
        <v>11</v>
      </c>
      <c r="O27" s="105">
        <f t="shared" si="19"/>
        <v>12</v>
      </c>
      <c r="P27" s="105">
        <f t="shared" si="19"/>
        <v>13</v>
      </c>
      <c r="Q27" s="105">
        <f t="shared" si="19"/>
        <v>14</v>
      </c>
      <c r="R27" s="105">
        <f t="shared" si="19"/>
        <v>15</v>
      </c>
      <c r="S27" s="105">
        <f t="shared" si="19"/>
        <v>16</v>
      </c>
      <c r="T27" s="105">
        <f t="shared" si="19"/>
        <v>17</v>
      </c>
      <c r="U27" s="105">
        <f t="shared" si="19"/>
        <v>18</v>
      </c>
      <c r="V27" s="105">
        <f t="shared" si="19"/>
        <v>19</v>
      </c>
      <c r="W27" s="105">
        <f t="shared" si="19"/>
        <v>20</v>
      </c>
      <c r="X27" s="105">
        <f t="shared" si="19"/>
        <v>21</v>
      </c>
      <c r="Y27" s="105">
        <f t="shared" si="19"/>
        <v>22</v>
      </c>
      <c r="Z27" s="105">
        <f t="shared" si="19"/>
        <v>23</v>
      </c>
      <c r="AA27" s="105">
        <f t="shared" si="19"/>
        <v>24</v>
      </c>
      <c r="AB27" s="105">
        <f t="shared" si="19"/>
        <v>25</v>
      </c>
      <c r="AC27" s="105">
        <f t="shared" si="19"/>
        <v>26</v>
      </c>
      <c r="AD27" s="105">
        <f t="shared" si="19"/>
        <v>27</v>
      </c>
      <c r="AE27" s="105">
        <f t="shared" si="19"/>
        <v>28</v>
      </c>
      <c r="AF27" s="105">
        <f t="shared" si="19"/>
        <v>29</v>
      </c>
      <c r="AG27" s="105">
        <f t="shared" si="19"/>
        <v>30</v>
      </c>
      <c r="AH27" s="106">
        <f t="shared" si="19"/>
        <v>31</v>
      </c>
      <c r="AO27" s="77"/>
      <c r="AP27" s="77"/>
      <c r="AR27" s="77"/>
      <c r="AS27" s="77"/>
      <c r="AX27" s="77"/>
    </row>
    <row r="28" spans="2:50">
      <c r="D28" s="107">
        <f>IFERROR(WEEKDAY(D25,1),"")</f>
        <v>1</v>
      </c>
      <c r="E28" s="108">
        <f t="shared" ref="E28:AH28" si="20">IFERROR(WEEKDAY(E25,1),"")</f>
        <v>2</v>
      </c>
      <c r="F28" s="108">
        <f t="shared" si="20"/>
        <v>3</v>
      </c>
      <c r="G28" s="108">
        <f t="shared" si="20"/>
        <v>4</v>
      </c>
      <c r="H28" s="108">
        <f t="shared" si="20"/>
        <v>5</v>
      </c>
      <c r="I28" s="108">
        <f t="shared" si="20"/>
        <v>6</v>
      </c>
      <c r="J28" s="108">
        <f t="shared" si="20"/>
        <v>7</v>
      </c>
      <c r="K28" s="108">
        <f t="shared" si="20"/>
        <v>1</v>
      </c>
      <c r="L28" s="108">
        <f t="shared" si="20"/>
        <v>2</v>
      </c>
      <c r="M28" s="108">
        <f t="shared" si="20"/>
        <v>3</v>
      </c>
      <c r="N28" s="108">
        <f t="shared" si="20"/>
        <v>4</v>
      </c>
      <c r="O28" s="108">
        <f t="shared" si="20"/>
        <v>5</v>
      </c>
      <c r="P28" s="108">
        <f t="shared" si="20"/>
        <v>6</v>
      </c>
      <c r="Q28" s="108">
        <f t="shared" si="20"/>
        <v>7</v>
      </c>
      <c r="R28" s="108">
        <f t="shared" si="20"/>
        <v>1</v>
      </c>
      <c r="S28" s="108">
        <f t="shared" si="20"/>
        <v>2</v>
      </c>
      <c r="T28" s="108">
        <f t="shared" si="20"/>
        <v>3</v>
      </c>
      <c r="U28" s="108">
        <f t="shared" si="20"/>
        <v>4</v>
      </c>
      <c r="V28" s="108">
        <f t="shared" si="20"/>
        <v>5</v>
      </c>
      <c r="W28" s="108">
        <f t="shared" si="20"/>
        <v>6</v>
      </c>
      <c r="X28" s="108">
        <f t="shared" si="20"/>
        <v>7</v>
      </c>
      <c r="Y28" s="108">
        <f t="shared" si="20"/>
        <v>1</v>
      </c>
      <c r="Z28" s="108">
        <f t="shared" si="20"/>
        <v>2</v>
      </c>
      <c r="AA28" s="108">
        <f t="shared" si="20"/>
        <v>3</v>
      </c>
      <c r="AB28" s="108">
        <f t="shared" si="20"/>
        <v>4</v>
      </c>
      <c r="AC28" s="108">
        <f t="shared" si="20"/>
        <v>5</v>
      </c>
      <c r="AD28" s="108">
        <f t="shared" si="20"/>
        <v>6</v>
      </c>
      <c r="AE28" s="108">
        <f t="shared" si="20"/>
        <v>7</v>
      </c>
      <c r="AF28" s="108">
        <f t="shared" si="20"/>
        <v>1</v>
      </c>
      <c r="AG28" s="108">
        <f t="shared" si="20"/>
        <v>2</v>
      </c>
      <c r="AH28" s="109">
        <f t="shared" si="20"/>
        <v>3</v>
      </c>
      <c r="AI28" s="150" t="s">
        <v>30</v>
      </c>
      <c r="AJ28" s="125" t="s">
        <v>90</v>
      </c>
      <c r="AK28" s="126" t="s">
        <v>91</v>
      </c>
      <c r="AL28" s="110" t="s">
        <v>92</v>
      </c>
      <c r="AM28" s="127" t="s">
        <v>93</v>
      </c>
      <c r="AN28" s="142" t="s">
        <v>102</v>
      </c>
      <c r="AO28" s="114" t="s">
        <v>33</v>
      </c>
      <c r="AP28" s="115" t="s">
        <v>28</v>
      </c>
      <c r="AQ28" s="116" t="s">
        <v>32</v>
      </c>
      <c r="AR28" s="128" t="s">
        <v>94</v>
      </c>
      <c r="AS28" s="118" t="s">
        <v>0</v>
      </c>
      <c r="AT28" s="119" t="s">
        <v>1</v>
      </c>
      <c r="AU28" s="145" t="s">
        <v>114</v>
      </c>
      <c r="AV28" s="120" t="s">
        <v>35</v>
      </c>
      <c r="AW28" s="146" t="s">
        <v>116</v>
      </c>
      <c r="AX28" s="121" t="s">
        <v>71</v>
      </c>
    </row>
    <row r="29" spans="2:50" ht="15.75" thickBot="1">
      <c r="D29" s="122" t="str">
        <f t="array" ref="D29">IF(OR(D28=1),"",IFERROR(INDEX(Tableau1[],MATCH(1,(PLANNING!D25&gt;=Tableau1[Date début])*(Tableau1[Date de fin]&gt;=PLANNING!D25)*(Tableau1[Nom]=PLANNING!$S$2),0),5),""))</f>
        <v/>
      </c>
      <c r="E29" s="123" t="str">
        <f t="array" ref="E29">IF(OR(E28=1),"",IFERROR(INDEX(Tableau1[],MATCH(1,(PLANNING!E25&gt;=Tableau1[Date début])*(Tableau1[Date de fin]&gt;=PLANNING!E25)*(Tableau1[Nom]=PLANNING!$S$2),0),5),""))</f>
        <v>CDT</v>
      </c>
      <c r="F29" s="123" t="str">
        <f t="array" ref="F29">IF(OR(F28=1),"",IFERROR(INDEX(Tableau1[],MATCH(1,(PLANNING!F25&gt;=Tableau1[Date début])*(Tableau1[Date de fin]&gt;=PLANNING!F25)*(Tableau1[Nom]=PLANNING!$S$2),0),5),""))</f>
        <v>INF</v>
      </c>
      <c r="G29" s="123" t="str">
        <f t="array" ref="G29">IF(OR(G28=1),"",IFERROR(INDEX(Tableau1[],MATCH(1,(PLANNING!G25&gt;=Tableau1[Date début])*(Tableau1[Date de fin]&gt;=PLANNING!G25)*(Tableau1[Nom]=PLANNING!$S$2),0),5),""))</f>
        <v>CDT</v>
      </c>
      <c r="H29" s="123" t="str">
        <f t="array" ref="H29">IF(OR(H28=1),"",IFERROR(INDEX(Tableau1[],MATCH(1,(PLANNING!H25&gt;=Tableau1[Date début])*(Tableau1[Date de fin]&gt;=PLANNING!H25)*(Tableau1[Nom]=PLANNING!$S$2),0),5),""))</f>
        <v>INF</v>
      </c>
      <c r="I29" s="123" t="str">
        <f t="array" ref="I29">IF(OR(I28=1),"",IFERROR(INDEX(Tableau1[],MATCH(1,(PLANNING!I25&gt;=Tableau1[Date début])*(Tableau1[Date de fin]&gt;=PLANNING!I25)*(Tableau1[Nom]=PLANNING!$S$2),0),5),""))</f>
        <v>REP</v>
      </c>
      <c r="J29" s="123" t="str">
        <f t="array" ref="J29">IF(OR(J28=1),"",IFERROR(INDEX(Tableau1[],MATCH(1,(PLANNING!J25&gt;=Tableau1[Date début])*(Tableau1[Date de fin]&gt;=PLANNING!J25)*(Tableau1[Nom]=PLANNING!$S$2),0),5),""))</f>
        <v>CDT</v>
      </c>
      <c r="K29" s="123" t="str">
        <f t="array" ref="K29">IF(OR(K28=1),"",IFERROR(INDEX(Tableau1[],MATCH(1,(PLANNING!K25&gt;=Tableau1[Date début])*(Tableau1[Date de fin]&gt;=PLANNING!K25)*(Tableau1[Nom]=PLANNING!$S$2),0),5),""))</f>
        <v/>
      </c>
      <c r="L29" s="123" t="str">
        <f t="array" ref="L29">IF(OR(L28=1),"",IFERROR(INDEX(Tableau1[],MATCH(1,(PLANNING!L25&gt;=Tableau1[Date début])*(Tableau1[Date de fin]&gt;=PLANNING!L25)*(Tableau1[Nom]=PLANNING!$S$2),0),5),""))</f>
        <v>CDT</v>
      </c>
      <c r="M29" s="123" t="str">
        <f t="array" ref="M29">IF(OR(M28=1),"",IFERROR(INDEX(Tableau1[],MATCH(1,(PLANNING!M25&gt;=Tableau1[Date début])*(Tableau1[Date de fin]&gt;=PLANNING!M25)*(Tableau1[Nom]=PLANNING!$S$2),0),5),""))</f>
        <v>INF</v>
      </c>
      <c r="N29" s="123" t="str">
        <f t="array" ref="N29">IF(OR(N28=1),"",IFERROR(INDEX(Tableau1[],MATCH(1,(PLANNING!N25&gt;=Tableau1[Date début])*(Tableau1[Date de fin]&gt;=PLANNING!N25)*(Tableau1[Nom]=PLANNING!$S$2),0),5),""))</f>
        <v>CDT</v>
      </c>
      <c r="O29" s="123" t="str">
        <f t="array" ref="O29">IF(OR(O28=1),"",IFERROR(INDEX(Tableau1[],MATCH(1,(PLANNING!O25&gt;=Tableau1[Date début])*(Tableau1[Date de fin]&gt;=PLANNING!O25)*(Tableau1[Nom]=PLANNING!$S$2),0),5),""))</f>
        <v>INF</v>
      </c>
      <c r="P29" s="123" t="str">
        <f t="array" ref="P29">IF(OR(P28=1),"",IFERROR(INDEX(Tableau1[],MATCH(1,(PLANNING!P25&gt;=Tableau1[Date début])*(Tableau1[Date de fin]&gt;=PLANNING!P25)*(Tableau1[Nom]=PLANNING!$S$2),0),5),""))</f>
        <v>CDT</v>
      </c>
      <c r="Q29" s="123" t="str">
        <f t="array" ref="Q29">IF(OR(Q28=1),"",IFERROR(INDEX(Tableau1[],MATCH(1,(PLANNING!Q25&gt;=Tableau1[Date début])*(Tableau1[Date de fin]&gt;=PLANNING!Q25)*(Tableau1[Nom]=PLANNING!$S$2),0),5),""))</f>
        <v>REP</v>
      </c>
      <c r="R29" s="123" t="str">
        <f t="array" ref="R29">IF(OR(R28=1),"",IFERROR(INDEX(Tableau1[],MATCH(1,(PLANNING!R25&gt;=Tableau1[Date début])*(Tableau1[Date de fin]&gt;=PLANNING!R25)*(Tableau1[Nom]=PLANNING!$S$2),0),5),""))</f>
        <v/>
      </c>
      <c r="S29" s="123" t="str">
        <f t="array" ref="S29">IF(OR(S28=1),"",IFERROR(INDEX(Tableau1[],MATCH(1,(PLANNING!S25&gt;=Tableau1[Date début])*(Tableau1[Date de fin]&gt;=PLANNING!S25)*(Tableau1[Nom]=PLANNING!$S$2),0),5),""))</f>
        <v>CDT</v>
      </c>
      <c r="T29" s="123" t="str">
        <f t="array" ref="T29">IF(OR(T28=1),"",IFERROR(INDEX(Tableau1[],MATCH(1,(PLANNING!T25&gt;=Tableau1[Date début])*(Tableau1[Date de fin]&gt;=PLANNING!T25)*(Tableau1[Nom]=PLANNING!$S$2),0),5),""))</f>
        <v>AIF</v>
      </c>
      <c r="U29" s="123" t="str">
        <f t="array" ref="U29">IF(OR(U28=1),"",IFERROR(INDEX(Tableau1[],MATCH(1,(PLANNING!U25&gt;=Tableau1[Date début])*(Tableau1[Date de fin]&gt;=PLANNING!U25)*(Tableau1[Nom]=PLANNING!$S$2),0),5),""))</f>
        <v>AIF</v>
      </c>
      <c r="V29" s="123" t="str">
        <f t="array" ref="V29">IF(OR(V28=1),"",IFERROR(INDEX(Tableau1[],MATCH(1,(PLANNING!V25&gt;=Tableau1[Date début])*(Tableau1[Date de fin]&gt;=PLANNING!V25)*(Tableau1[Nom]=PLANNING!$S$2),0),5),""))</f>
        <v>AIF</v>
      </c>
      <c r="W29" s="123" t="str">
        <f t="array" ref="W29">IF(OR(W28=1),"",IFERROR(INDEX(Tableau1[],MATCH(1,(PLANNING!W25&gt;=Tableau1[Date début])*(Tableau1[Date de fin]&gt;=PLANNING!W25)*(Tableau1[Nom]=PLANNING!$S$2),0),5),""))</f>
        <v>AIF</v>
      </c>
      <c r="X29" s="123" t="str">
        <f t="array" ref="X29">IF(OR(X28=1),"",IFERROR(INDEX(Tableau1[],MATCH(1,(PLANNING!X25&gt;=Tableau1[Date début])*(Tableau1[Date de fin]&gt;=PLANNING!X25)*(Tableau1[Nom]=PLANNING!$S$2),0),5),""))</f>
        <v>REP</v>
      </c>
      <c r="Y29" s="123" t="str">
        <f t="array" ref="Y29">IF(OR(Y28=1),"",IFERROR(INDEX(Tableau1[],MATCH(1,(PLANNING!Y25&gt;=Tableau1[Date début])*(Tableau1[Date de fin]&gt;=PLANNING!Y25)*(Tableau1[Nom]=PLANNING!$S$2),0),5),""))</f>
        <v/>
      </c>
      <c r="Z29" s="123" t="str">
        <f t="array" ref="Z29">IF(OR(Z28=1),"",IFERROR(INDEX(Tableau1[],MATCH(1,(PLANNING!Z25&gt;=Tableau1[Date début])*(Tableau1[Date de fin]&gt;=PLANNING!Z25)*(Tableau1[Nom]=PLANNING!$S$2),0),5),""))</f>
        <v>AIF</v>
      </c>
      <c r="AA29" s="123" t="str">
        <f t="array" ref="AA29">IF(OR(AA28=1),"",IFERROR(INDEX(Tableau1[],MATCH(1,(PLANNING!AA25&gt;=Tableau1[Date début])*(Tableau1[Date de fin]&gt;=PLANNING!AA25)*(Tableau1[Nom]=PLANNING!$S$2),0),5),""))</f>
        <v>AIF</v>
      </c>
      <c r="AB29" s="123" t="str">
        <f t="array" ref="AB29">IF(OR(AB28=1),"",IFERROR(INDEX(Tableau1[],MATCH(1,(PLANNING!AB25&gt;=Tableau1[Date début])*(Tableau1[Date de fin]&gt;=PLANNING!AB25)*(Tableau1[Nom]=PLANNING!$S$2),0),5),""))</f>
        <v>AIF</v>
      </c>
      <c r="AC29" s="123" t="str">
        <f t="array" ref="AC29">IF(OR(AC28=1),"",IFERROR(INDEX(Tableau1[],MATCH(1,(PLANNING!AC25&gt;=Tableau1[Date début])*(Tableau1[Date de fin]&gt;=PLANNING!AC25)*(Tableau1[Nom]=PLANNING!$S$2),0),5),""))</f>
        <v>AIF</v>
      </c>
      <c r="AD29" s="123" t="str">
        <f t="array" ref="AD29">IF(OR(AD28=1),"",IFERROR(INDEX(Tableau1[],MATCH(1,(PLANNING!AD25&gt;=Tableau1[Date début])*(Tableau1[Date de fin]&gt;=PLANNING!AD25)*(Tableau1[Nom]=PLANNING!$S$2),0),5),""))</f>
        <v>AIF</v>
      </c>
      <c r="AE29" s="123" t="str">
        <f t="array" ref="AE29">IF(OR(AE28=1),"",IFERROR(INDEX(Tableau1[],MATCH(1,(PLANNING!AE25&gt;=Tableau1[Date début])*(Tableau1[Date de fin]&gt;=PLANNING!AE25)*(Tableau1[Nom]=PLANNING!$S$2),0),5),""))</f>
        <v>REP</v>
      </c>
      <c r="AF29" s="123" t="str">
        <f t="array" ref="AF29">IF(OR(AF28=1),"",IFERROR(INDEX(Tableau1[],MATCH(1,(PLANNING!AF25&gt;=Tableau1[Date début])*(Tableau1[Date de fin]&gt;=PLANNING!AF25)*(Tableau1[Nom]=PLANNING!$S$2),0),5),""))</f>
        <v/>
      </c>
      <c r="AG29" s="123" t="str">
        <f t="array" ref="AG29">IF(OR(AG28=1),"",IFERROR(INDEX(Tableau1[],MATCH(1,(PLANNING!AG25&gt;=Tableau1[Date début])*(Tableau1[Date de fin]&gt;=PLANNING!AG25)*(Tableau1[Nom]=PLANNING!$S$2),0),5),""))</f>
        <v>AIF</v>
      </c>
      <c r="AH29" s="124" t="str">
        <f t="array" ref="AH29">IF(OR(AH28=1),"",IFERROR(INDEX(Tableau1[],MATCH(1,(PLANNING!AH25&gt;=Tableau1[Date début])*(Tableau1[Date de fin]&gt;=PLANNING!AH25)*(Tableau1[Nom]=PLANNING!$S$2),0),5),""))</f>
        <v>AIF</v>
      </c>
      <c r="AI29" s="77">
        <f t="shared" ref="AI29:AW29" si="21">COUNTIF($D$29:$AH$29,AI28)</f>
        <v>0</v>
      </c>
      <c r="AJ29" s="77">
        <f t="shared" si="21"/>
        <v>0</v>
      </c>
      <c r="AK29" s="77">
        <f t="shared" si="21"/>
        <v>0</v>
      </c>
      <c r="AL29" s="77">
        <f t="shared" si="21"/>
        <v>0</v>
      </c>
      <c r="AM29" s="77">
        <f t="shared" si="21"/>
        <v>11</v>
      </c>
      <c r="AN29" s="77">
        <f t="shared" si="21"/>
        <v>7</v>
      </c>
      <c r="AO29" s="77">
        <f t="shared" si="21"/>
        <v>0</v>
      </c>
      <c r="AP29" s="77">
        <f t="shared" si="21"/>
        <v>0</v>
      </c>
      <c r="AQ29" s="77">
        <f t="shared" si="21"/>
        <v>0</v>
      </c>
      <c r="AR29" s="77">
        <f t="shared" si="21"/>
        <v>4</v>
      </c>
      <c r="AS29" s="77">
        <f t="shared" si="21"/>
        <v>0</v>
      </c>
      <c r="AT29" s="77">
        <f t="shared" si="21"/>
        <v>0</v>
      </c>
      <c r="AU29" s="77">
        <f t="shared" si="21"/>
        <v>4</v>
      </c>
      <c r="AV29" s="77">
        <f t="shared" si="21"/>
        <v>0</v>
      </c>
      <c r="AW29" s="77">
        <f t="shared" si="21"/>
        <v>0</v>
      </c>
      <c r="AX29" s="77">
        <f>CALENDRIER!AC21</f>
        <v>0</v>
      </c>
    </row>
    <row r="30" spans="2:50" ht="57" hidden="1" customHeight="1" thickBot="1">
      <c r="B30" s="76" t="s">
        <v>11</v>
      </c>
      <c r="C30" s="101">
        <f>DATE($D$2,MONTH(1&amp;"/"&amp;D31),1)</f>
        <v>43922</v>
      </c>
      <c r="D30" s="102">
        <f>C30</f>
        <v>43922</v>
      </c>
      <c r="E30" s="102">
        <f>IFERROR(IF(D30+1&gt;$C$31,"",D30+1),"")</f>
        <v>43923</v>
      </c>
      <c r="F30" s="102">
        <f t="shared" ref="F30:AH30" si="22">IFERROR(IF(E30+1&gt;$C$31,"",E30+1),"")</f>
        <v>43924</v>
      </c>
      <c r="G30" s="102">
        <f t="shared" si="22"/>
        <v>43925</v>
      </c>
      <c r="H30" s="102">
        <f t="shared" si="22"/>
        <v>43926</v>
      </c>
      <c r="I30" s="102">
        <f t="shared" si="22"/>
        <v>43927</v>
      </c>
      <c r="J30" s="102">
        <f t="shared" si="22"/>
        <v>43928</v>
      </c>
      <c r="K30" s="102">
        <f t="shared" si="22"/>
        <v>43929</v>
      </c>
      <c r="L30" s="102">
        <f t="shared" si="22"/>
        <v>43930</v>
      </c>
      <c r="M30" s="102">
        <f t="shared" si="22"/>
        <v>43931</v>
      </c>
      <c r="N30" s="102">
        <f t="shared" si="22"/>
        <v>43932</v>
      </c>
      <c r="O30" s="102">
        <f t="shared" si="22"/>
        <v>43933</v>
      </c>
      <c r="P30" s="102">
        <f t="shared" si="22"/>
        <v>43934</v>
      </c>
      <c r="Q30" s="102">
        <f t="shared" si="22"/>
        <v>43935</v>
      </c>
      <c r="R30" s="102">
        <f t="shared" si="22"/>
        <v>43936</v>
      </c>
      <c r="S30" s="102">
        <f t="shared" si="22"/>
        <v>43937</v>
      </c>
      <c r="T30" s="102">
        <f t="shared" si="22"/>
        <v>43938</v>
      </c>
      <c r="U30" s="102">
        <f t="shared" si="22"/>
        <v>43939</v>
      </c>
      <c r="V30" s="102">
        <f t="shared" si="22"/>
        <v>43940</v>
      </c>
      <c r="W30" s="102">
        <f t="shared" si="22"/>
        <v>43941</v>
      </c>
      <c r="X30" s="102">
        <f t="shared" si="22"/>
        <v>43942</v>
      </c>
      <c r="Y30" s="102">
        <f t="shared" si="22"/>
        <v>43943</v>
      </c>
      <c r="Z30" s="102">
        <f t="shared" si="22"/>
        <v>43944</v>
      </c>
      <c r="AA30" s="102">
        <f t="shared" si="22"/>
        <v>43945</v>
      </c>
      <c r="AB30" s="102">
        <f t="shared" si="22"/>
        <v>43946</v>
      </c>
      <c r="AC30" s="102">
        <f t="shared" si="22"/>
        <v>43947</v>
      </c>
      <c r="AD30" s="102">
        <f t="shared" si="22"/>
        <v>43948</v>
      </c>
      <c r="AE30" s="102">
        <f t="shared" si="22"/>
        <v>43949</v>
      </c>
      <c r="AF30" s="102">
        <f t="shared" si="22"/>
        <v>43950</v>
      </c>
      <c r="AG30" s="102">
        <f t="shared" si="22"/>
        <v>43951</v>
      </c>
      <c r="AH30" s="102" t="str">
        <f t="shared" si="22"/>
        <v/>
      </c>
      <c r="AI30" s="102" t="str">
        <f t="shared" ref="AI30" si="23">IFERROR(IF(AH30+1&gt;$C$16,"",AH30+1),"")</f>
        <v/>
      </c>
      <c r="AJ30" s="102"/>
      <c r="AK30" s="102"/>
      <c r="AL30" s="102"/>
      <c r="AM30" s="102"/>
      <c r="AN30" s="102"/>
      <c r="AO30" s="102"/>
      <c r="AP30" s="77"/>
      <c r="AR30" s="77"/>
      <c r="AS30" s="77"/>
      <c r="AX30" s="77"/>
    </row>
    <row r="31" spans="2:50" ht="24" thickBot="1">
      <c r="B31" s="76" t="s">
        <v>12</v>
      </c>
      <c r="C31" s="103">
        <f>EOMONTH(C30,0)</f>
        <v>43951</v>
      </c>
      <c r="D31" s="217" t="s">
        <v>16</v>
      </c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O31" s="77"/>
      <c r="AP31" s="77"/>
      <c r="AR31" s="77"/>
      <c r="AS31" s="77"/>
      <c r="AX31" s="77"/>
    </row>
    <row r="32" spans="2:50">
      <c r="D32" s="104">
        <f>IFERROR(DAY(D30),"")</f>
        <v>1</v>
      </c>
      <c r="E32" s="105">
        <f t="shared" ref="E32:AH32" si="24">IFERROR(DAY(E30),"")</f>
        <v>2</v>
      </c>
      <c r="F32" s="105">
        <f t="shared" si="24"/>
        <v>3</v>
      </c>
      <c r="G32" s="105">
        <f t="shared" si="24"/>
        <v>4</v>
      </c>
      <c r="H32" s="105">
        <f t="shared" si="24"/>
        <v>5</v>
      </c>
      <c r="I32" s="105">
        <f t="shared" si="24"/>
        <v>6</v>
      </c>
      <c r="J32" s="105">
        <f t="shared" si="24"/>
        <v>7</v>
      </c>
      <c r="K32" s="105">
        <f t="shared" si="24"/>
        <v>8</v>
      </c>
      <c r="L32" s="105">
        <f t="shared" si="24"/>
        <v>9</v>
      </c>
      <c r="M32" s="105">
        <f t="shared" si="24"/>
        <v>10</v>
      </c>
      <c r="N32" s="105">
        <f t="shared" si="24"/>
        <v>11</v>
      </c>
      <c r="O32" s="105">
        <f t="shared" si="24"/>
        <v>12</v>
      </c>
      <c r="P32" s="105">
        <f t="shared" si="24"/>
        <v>13</v>
      </c>
      <c r="Q32" s="105">
        <f t="shared" si="24"/>
        <v>14</v>
      </c>
      <c r="R32" s="105">
        <f t="shared" si="24"/>
        <v>15</v>
      </c>
      <c r="S32" s="105">
        <f t="shared" si="24"/>
        <v>16</v>
      </c>
      <c r="T32" s="105">
        <f t="shared" si="24"/>
        <v>17</v>
      </c>
      <c r="U32" s="105">
        <f t="shared" si="24"/>
        <v>18</v>
      </c>
      <c r="V32" s="105">
        <f t="shared" si="24"/>
        <v>19</v>
      </c>
      <c r="W32" s="105">
        <f t="shared" si="24"/>
        <v>20</v>
      </c>
      <c r="X32" s="105">
        <f t="shared" si="24"/>
        <v>21</v>
      </c>
      <c r="Y32" s="105">
        <f t="shared" si="24"/>
        <v>22</v>
      </c>
      <c r="Z32" s="105">
        <f t="shared" si="24"/>
        <v>23</v>
      </c>
      <c r="AA32" s="105">
        <f t="shared" si="24"/>
        <v>24</v>
      </c>
      <c r="AB32" s="105">
        <f t="shared" si="24"/>
        <v>25</v>
      </c>
      <c r="AC32" s="105">
        <f t="shared" si="24"/>
        <v>26</v>
      </c>
      <c r="AD32" s="105">
        <f t="shared" si="24"/>
        <v>27</v>
      </c>
      <c r="AE32" s="105">
        <f t="shared" si="24"/>
        <v>28</v>
      </c>
      <c r="AF32" s="105">
        <f t="shared" si="24"/>
        <v>29</v>
      </c>
      <c r="AG32" s="105">
        <f t="shared" si="24"/>
        <v>30</v>
      </c>
      <c r="AH32" s="106" t="str">
        <f t="shared" si="24"/>
        <v/>
      </c>
      <c r="AO32" s="77"/>
      <c r="AP32" s="77"/>
      <c r="AR32" s="77"/>
      <c r="AS32" s="77"/>
      <c r="AX32" s="77"/>
    </row>
    <row r="33" spans="2:50">
      <c r="D33" s="107">
        <f>IFERROR(WEEKDAY(D30,1),"")</f>
        <v>4</v>
      </c>
      <c r="E33" s="108">
        <f t="shared" ref="E33:AH33" si="25">IFERROR(WEEKDAY(E30,1),"")</f>
        <v>5</v>
      </c>
      <c r="F33" s="108">
        <f t="shared" si="25"/>
        <v>6</v>
      </c>
      <c r="G33" s="108">
        <f t="shared" si="25"/>
        <v>7</v>
      </c>
      <c r="H33" s="108">
        <f t="shared" si="25"/>
        <v>1</v>
      </c>
      <c r="I33" s="108">
        <f t="shared" si="25"/>
        <v>2</v>
      </c>
      <c r="J33" s="108">
        <f t="shared" si="25"/>
        <v>3</v>
      </c>
      <c r="K33" s="108">
        <f t="shared" si="25"/>
        <v>4</v>
      </c>
      <c r="L33" s="108">
        <f t="shared" si="25"/>
        <v>5</v>
      </c>
      <c r="M33" s="108">
        <f t="shared" si="25"/>
        <v>6</v>
      </c>
      <c r="N33" s="108">
        <f t="shared" si="25"/>
        <v>7</v>
      </c>
      <c r="O33" s="108">
        <f t="shared" si="25"/>
        <v>1</v>
      </c>
      <c r="P33" s="108">
        <f t="shared" si="25"/>
        <v>2</v>
      </c>
      <c r="Q33" s="108">
        <f t="shared" si="25"/>
        <v>3</v>
      </c>
      <c r="R33" s="108">
        <f t="shared" si="25"/>
        <v>4</v>
      </c>
      <c r="S33" s="108">
        <f t="shared" si="25"/>
        <v>5</v>
      </c>
      <c r="T33" s="108">
        <f t="shared" si="25"/>
        <v>6</v>
      </c>
      <c r="U33" s="108">
        <f t="shared" si="25"/>
        <v>7</v>
      </c>
      <c r="V33" s="108">
        <f t="shared" si="25"/>
        <v>1</v>
      </c>
      <c r="W33" s="108">
        <f t="shared" si="25"/>
        <v>2</v>
      </c>
      <c r="X33" s="108">
        <f t="shared" si="25"/>
        <v>3</v>
      </c>
      <c r="Y33" s="108">
        <f t="shared" si="25"/>
        <v>4</v>
      </c>
      <c r="Z33" s="108">
        <f t="shared" si="25"/>
        <v>5</v>
      </c>
      <c r="AA33" s="108">
        <f t="shared" si="25"/>
        <v>6</v>
      </c>
      <c r="AB33" s="108">
        <f t="shared" si="25"/>
        <v>7</v>
      </c>
      <c r="AC33" s="108">
        <f t="shared" si="25"/>
        <v>1</v>
      </c>
      <c r="AD33" s="108">
        <f t="shared" si="25"/>
        <v>2</v>
      </c>
      <c r="AE33" s="108">
        <f t="shared" si="25"/>
        <v>3</v>
      </c>
      <c r="AF33" s="108">
        <f t="shared" si="25"/>
        <v>4</v>
      </c>
      <c r="AG33" s="108">
        <f t="shared" si="25"/>
        <v>5</v>
      </c>
      <c r="AH33" s="109" t="str">
        <f t="shared" si="25"/>
        <v/>
      </c>
      <c r="AI33" s="150" t="s">
        <v>30</v>
      </c>
      <c r="AJ33" s="125" t="s">
        <v>90</v>
      </c>
      <c r="AK33" s="126" t="s">
        <v>91</v>
      </c>
      <c r="AL33" s="110" t="s">
        <v>92</v>
      </c>
      <c r="AM33" s="127" t="s">
        <v>93</v>
      </c>
      <c r="AN33" s="142" t="s">
        <v>102</v>
      </c>
      <c r="AO33" s="114" t="s">
        <v>33</v>
      </c>
      <c r="AP33" s="115" t="s">
        <v>28</v>
      </c>
      <c r="AQ33" s="116" t="s">
        <v>32</v>
      </c>
      <c r="AR33" s="128" t="s">
        <v>94</v>
      </c>
      <c r="AS33" s="118" t="s">
        <v>0</v>
      </c>
      <c r="AT33" s="119" t="s">
        <v>1</v>
      </c>
      <c r="AU33" s="145" t="s">
        <v>114</v>
      </c>
      <c r="AV33" s="120" t="s">
        <v>35</v>
      </c>
      <c r="AW33" s="146" t="s">
        <v>116</v>
      </c>
      <c r="AX33" s="121" t="s">
        <v>71</v>
      </c>
    </row>
    <row r="34" spans="2:50" ht="15.75" thickBot="1">
      <c r="D34" s="122" t="str">
        <f t="array" ref="D34">IF(OR(D33=1),"",IFERROR(INDEX(Tableau1[],MATCH(1,(PLANNING!D30&gt;=Tableau1[Date début])*(Tableau1[Date de fin]&gt;=PLANNING!D30)*(Tableau1[Nom]=PLANNING!$S$2),0),5),""))</f>
        <v>AIF</v>
      </c>
      <c r="E34" s="123" t="str">
        <f t="array" ref="E34">IF(OR(E33=1),"",IFERROR(INDEX(Tableau1[],MATCH(1,(PLANNING!E30&gt;=Tableau1[Date début])*(Tableau1[Date de fin]&gt;=PLANNING!E30)*(Tableau1[Nom]=PLANNING!$S$2),0),5),""))</f>
        <v>AIF</v>
      </c>
      <c r="F34" s="123" t="str">
        <f t="array" ref="F34">IF(OR(F33=1),"",IFERROR(INDEX(Tableau1[],MATCH(1,(PLANNING!F30&gt;=Tableau1[Date début])*(Tableau1[Date de fin]&gt;=PLANNING!F30)*(Tableau1[Nom]=PLANNING!$S$2),0),5),""))</f>
        <v>REP</v>
      </c>
      <c r="G34" s="123" t="str">
        <f t="array" ref="G34">IF(OR(G33=1),"",IFERROR(INDEX(Tableau1[],MATCH(1,(PLANNING!G30&gt;=Tableau1[Date début])*(Tableau1[Date de fin]&gt;=PLANNING!G30)*(Tableau1[Nom]=PLANNING!$S$2),0),5),""))</f>
        <v>REP</v>
      </c>
      <c r="H34" s="123" t="str">
        <f t="array" ref="H34">IF(OR(H33=1),"",IFERROR(INDEX(Tableau1[],MATCH(1,(PLANNING!H30&gt;=Tableau1[Date début])*(Tableau1[Date de fin]&gt;=PLANNING!H30)*(Tableau1[Nom]=PLANNING!$S$2),0),5),""))</f>
        <v/>
      </c>
      <c r="I34" s="123" t="str">
        <f t="array" ref="I34">IF(OR(I33=1),"",IFERROR(INDEX(Tableau1[],MATCH(1,(PLANNING!I30&gt;=Tableau1[Date début])*(Tableau1[Date de fin]&gt;=PLANNING!I30)*(Tableau1[Nom]=PLANNING!$S$2),0),5),""))</f>
        <v>AIF</v>
      </c>
      <c r="J34" s="123" t="str">
        <f t="array" ref="J34">IF(OR(J33=1),"",IFERROR(INDEX(Tableau1[],MATCH(1,(PLANNING!J30&gt;=Tableau1[Date début])*(Tableau1[Date de fin]&gt;=PLANNING!J30)*(Tableau1[Nom]=PLANNING!$S$2),0),5),""))</f>
        <v>AIF</v>
      </c>
      <c r="K34" s="123" t="str">
        <f t="array" ref="K34">IF(OR(K33=1),"",IFERROR(INDEX(Tableau1[],MATCH(1,(PLANNING!K30&gt;=Tableau1[Date début])*(Tableau1[Date de fin]&gt;=PLANNING!K30)*(Tableau1[Nom]=PLANNING!$S$2),0),5),""))</f>
        <v>AIF</v>
      </c>
      <c r="L34" s="123" t="str">
        <f t="array" ref="L34">IF(OR(L33=1),"",IFERROR(INDEX(Tableau1[],MATCH(1,(PLANNING!L30&gt;=Tableau1[Date début])*(Tableau1[Date de fin]&gt;=PLANNING!L30)*(Tableau1[Nom]=PLANNING!$S$2),0),5),""))</f>
        <v>AIF</v>
      </c>
      <c r="M34" s="123" t="str">
        <f t="array" ref="M34">IF(OR(M33=1),"",IFERROR(INDEX(Tableau1[],MATCH(1,(PLANNING!M30&gt;=Tableau1[Date début])*(Tableau1[Date de fin]&gt;=PLANNING!M30)*(Tableau1[Nom]=PLANNING!$S$2),0),5),""))</f>
        <v>CP</v>
      </c>
      <c r="N34" s="123" t="str">
        <f t="array" ref="N34">IF(OR(N33=1),"",IFERROR(INDEX(Tableau1[],MATCH(1,(PLANNING!N30&gt;=Tableau1[Date début])*(Tableau1[Date de fin]&gt;=PLANNING!N30)*(Tableau1[Nom]=PLANNING!$S$2),0),5),""))</f>
        <v>CP</v>
      </c>
      <c r="O34" s="123" t="str">
        <f t="array" ref="O34">IF(OR(O33=1),"",IFERROR(INDEX(Tableau1[],MATCH(1,(PLANNING!O30&gt;=Tableau1[Date début])*(Tableau1[Date de fin]&gt;=PLANNING!O30)*(Tableau1[Nom]=PLANNING!$S$2),0),5),""))</f>
        <v/>
      </c>
      <c r="P34" s="123" t="str">
        <f t="array" ref="P34">IF(OR(P33=1),"",IFERROR(INDEX(Tableau1[],MATCH(1,(PLANNING!P30&gt;=Tableau1[Date début])*(Tableau1[Date de fin]&gt;=PLANNING!P30)*(Tableau1[Nom]=PLANNING!$S$2),0),5),""))</f>
        <v/>
      </c>
      <c r="Q34" s="123" t="str">
        <f t="array" ref="Q34">IF(OR(Q33=1),"",IFERROR(INDEX(Tableau1[],MATCH(1,(PLANNING!Q30&gt;=Tableau1[Date début])*(Tableau1[Date de fin]&gt;=PLANNING!Q30)*(Tableau1[Nom]=PLANNING!$S$2),0),5),""))</f>
        <v>REP</v>
      </c>
      <c r="R34" s="123" t="str">
        <f t="array" ref="R34">IF(OR(R33=1),"",IFERROR(INDEX(Tableau1[],MATCH(1,(PLANNING!R30&gt;=Tableau1[Date début])*(Tableau1[Date de fin]&gt;=PLANNING!R30)*(Tableau1[Nom]=PLANNING!$S$2),0),5),""))</f>
        <v>REP</v>
      </c>
      <c r="S34" s="123" t="str">
        <f t="array" ref="S34">IF(OR(S33=1),"",IFERROR(INDEX(Tableau1[],MATCH(1,(PLANNING!S30&gt;=Tableau1[Date début])*(Tableau1[Date de fin]&gt;=PLANNING!S30)*(Tableau1[Nom]=PLANNING!$S$2),0),5),""))</f>
        <v>CP</v>
      </c>
      <c r="T34" s="123" t="str">
        <f t="array" ref="T34">IF(OR(T33=1),"",IFERROR(INDEX(Tableau1[],MATCH(1,(PLANNING!T30&gt;=Tableau1[Date début])*(Tableau1[Date de fin]&gt;=PLANNING!T30)*(Tableau1[Nom]=PLANNING!$S$2),0),5),""))</f>
        <v>CP</v>
      </c>
      <c r="U34" s="123" t="str">
        <f t="array" ref="U34">IF(OR(U33=1),"",IFERROR(INDEX(Tableau1[],MATCH(1,(PLANNING!U30&gt;=Tableau1[Date début])*(Tableau1[Date de fin]&gt;=PLANNING!U30)*(Tableau1[Nom]=PLANNING!$S$2),0),5),""))</f>
        <v>CP</v>
      </c>
      <c r="V34" s="123" t="str">
        <f t="array" ref="V34">IF(OR(V33=1),"",IFERROR(INDEX(Tableau1[],MATCH(1,(PLANNING!V30&gt;=Tableau1[Date début])*(Tableau1[Date de fin]&gt;=PLANNING!V30)*(Tableau1[Nom]=PLANNING!$S$2),0),5),""))</f>
        <v/>
      </c>
      <c r="W34" s="123" t="str">
        <f t="array" ref="W34">IF(OR(W33=1),"",IFERROR(INDEX(Tableau1[],MATCH(1,(PLANNING!W30&gt;=Tableau1[Date début])*(Tableau1[Date de fin]&gt;=PLANNING!W30)*(Tableau1[Nom]=PLANNING!$S$2),0),5),""))</f>
        <v>AIF</v>
      </c>
      <c r="X34" s="123" t="str">
        <f t="array" ref="X34">IF(OR(X33=1),"",IFERROR(INDEX(Tableau1[],MATCH(1,(PLANNING!X30&gt;=Tableau1[Date début])*(Tableau1[Date de fin]&gt;=PLANNING!X30)*(Tableau1[Nom]=PLANNING!$S$2),0),5),""))</f>
        <v>AIF</v>
      </c>
      <c r="Y34" s="123" t="str">
        <f t="array" ref="Y34">IF(OR(Y33=1),"",IFERROR(INDEX(Tableau1[],MATCH(1,(PLANNING!Y30&gt;=Tableau1[Date début])*(Tableau1[Date de fin]&gt;=PLANNING!Y30)*(Tableau1[Nom]=PLANNING!$S$2),0),5),""))</f>
        <v>AIF</v>
      </c>
      <c r="Z34" s="123" t="str">
        <f t="array" ref="Z34">IF(OR(Z33=1),"",IFERROR(INDEX(Tableau1[],MATCH(1,(PLANNING!Z30&gt;=Tableau1[Date début])*(Tableau1[Date de fin]&gt;=PLANNING!Z30)*(Tableau1[Nom]=PLANNING!$S$2),0),5),""))</f>
        <v>AIF</v>
      </c>
      <c r="AA34" s="123" t="str">
        <f t="array" ref="AA34">IF(OR(AA33=1),"",IFERROR(INDEX(Tableau1[],MATCH(1,(PLANNING!AA30&gt;=Tableau1[Date début])*(Tableau1[Date de fin]&gt;=PLANNING!AA30)*(Tableau1[Nom]=PLANNING!$S$2),0),5),""))</f>
        <v>REP</v>
      </c>
      <c r="AB34" s="123" t="str">
        <f t="array" ref="AB34">IF(OR(AB33=1),"",IFERROR(INDEX(Tableau1[],MATCH(1,(PLANNING!AB30&gt;=Tableau1[Date début])*(Tableau1[Date de fin]&gt;=PLANNING!AB30)*(Tableau1[Nom]=PLANNING!$S$2),0),5),""))</f>
        <v/>
      </c>
      <c r="AC34" s="123" t="str">
        <f t="array" ref="AC34">IF(OR(AC33=1),"",IFERROR(INDEX(Tableau1[],MATCH(1,(PLANNING!AC30&gt;=Tableau1[Date début])*(Tableau1[Date de fin]&gt;=PLANNING!AC30)*(Tableau1[Nom]=PLANNING!$S$2),0),5),""))</f>
        <v/>
      </c>
      <c r="AD34" s="123" t="str">
        <f t="array" ref="AD34">IF(OR(AD33=1),"",IFERROR(INDEX(Tableau1[],MATCH(1,(PLANNING!AD30&gt;=Tableau1[Date début])*(Tableau1[Date de fin]&gt;=PLANNING!AD30)*(Tableau1[Nom]=PLANNING!$S$2),0),5),""))</f>
        <v/>
      </c>
      <c r="AE34" s="123" t="str">
        <f t="array" ref="AE34">IF(OR(AE33=1),"",IFERROR(INDEX(Tableau1[],MATCH(1,(PLANNING!AE30&gt;=Tableau1[Date début])*(Tableau1[Date de fin]&gt;=PLANNING!AE30)*(Tableau1[Nom]=PLANNING!$S$2),0),5),""))</f>
        <v/>
      </c>
      <c r="AF34" s="123" t="str">
        <f t="array" ref="AF34">IF(OR(AF33=1),"",IFERROR(INDEX(Tableau1[],MATCH(1,(PLANNING!AF30&gt;=Tableau1[Date début])*(Tableau1[Date de fin]&gt;=PLANNING!AF30)*(Tableau1[Nom]=PLANNING!$S$2),0),5),""))</f>
        <v/>
      </c>
      <c r="AG34" s="123" t="str">
        <f t="array" ref="AG34">IF(OR(AG33=1),"",IFERROR(INDEX(Tableau1[],MATCH(1,(PLANNING!AG30&gt;=Tableau1[Date début])*(Tableau1[Date de fin]&gt;=PLANNING!AG30)*(Tableau1[Nom]=PLANNING!$S$2),0),5),""))</f>
        <v/>
      </c>
      <c r="AH34" s="124" t="str">
        <f t="array" ref="AH34">IF(OR(AH33=1),"",IFERROR(INDEX(Tableau1[],MATCH(1,(PLANNING!AH30&gt;=Tableau1[Date début])*(Tableau1[Date de fin]&gt;=PLANNING!AH30)*(Tableau1[Nom]=PLANNING!$S$2),0),5),""))</f>
        <v/>
      </c>
      <c r="AI34" s="77">
        <f t="shared" ref="AI34:AW34" si="26">COUNTIF($D$34:$AH$34,AI33)</f>
        <v>0</v>
      </c>
      <c r="AJ34" s="77">
        <f t="shared" si="26"/>
        <v>0</v>
      </c>
      <c r="AK34" s="77">
        <f t="shared" si="26"/>
        <v>0</v>
      </c>
      <c r="AL34" s="77">
        <f t="shared" si="26"/>
        <v>0</v>
      </c>
      <c r="AM34" s="77">
        <f t="shared" si="26"/>
        <v>10</v>
      </c>
      <c r="AN34" s="77">
        <f t="shared" si="26"/>
        <v>0</v>
      </c>
      <c r="AO34" s="77">
        <f t="shared" si="26"/>
        <v>0</v>
      </c>
      <c r="AP34" s="77">
        <f t="shared" si="26"/>
        <v>5</v>
      </c>
      <c r="AQ34" s="77">
        <f t="shared" si="26"/>
        <v>0</v>
      </c>
      <c r="AR34" s="77">
        <f t="shared" si="26"/>
        <v>0</v>
      </c>
      <c r="AS34" s="77">
        <f t="shared" si="26"/>
        <v>0</v>
      </c>
      <c r="AT34" s="77">
        <f t="shared" si="26"/>
        <v>0</v>
      </c>
      <c r="AU34" s="77">
        <f t="shared" si="26"/>
        <v>5</v>
      </c>
      <c r="AV34" s="77">
        <f t="shared" si="26"/>
        <v>0</v>
      </c>
      <c r="AW34" s="77">
        <f t="shared" si="26"/>
        <v>0</v>
      </c>
      <c r="AX34" s="77">
        <f>CALENDRIER!AC22</f>
        <v>2</v>
      </c>
    </row>
    <row r="35" spans="2:50" ht="57" hidden="1" customHeight="1" thickBot="1">
      <c r="B35" s="76" t="s">
        <v>11</v>
      </c>
      <c r="C35" s="101">
        <f>DATE($D$2,MONTH(1&amp;"/"&amp;D36),1)</f>
        <v>43952</v>
      </c>
      <c r="D35" s="102">
        <f>C35</f>
        <v>43952</v>
      </c>
      <c r="E35" s="102">
        <f>IFERROR(IF(D35+1&gt;$C$36,"",D35+1),"")</f>
        <v>43953</v>
      </c>
      <c r="F35" s="102">
        <f t="shared" ref="F35:AH35" si="27">IFERROR(IF(E35+1&gt;$C$36,"",E35+1),"")</f>
        <v>43954</v>
      </c>
      <c r="G35" s="102">
        <f t="shared" si="27"/>
        <v>43955</v>
      </c>
      <c r="H35" s="102">
        <f t="shared" si="27"/>
        <v>43956</v>
      </c>
      <c r="I35" s="102">
        <f t="shared" si="27"/>
        <v>43957</v>
      </c>
      <c r="J35" s="102">
        <f t="shared" si="27"/>
        <v>43958</v>
      </c>
      <c r="K35" s="102">
        <f t="shared" si="27"/>
        <v>43959</v>
      </c>
      <c r="L35" s="102">
        <f t="shared" si="27"/>
        <v>43960</v>
      </c>
      <c r="M35" s="102">
        <f t="shared" si="27"/>
        <v>43961</v>
      </c>
      <c r="N35" s="102">
        <f t="shared" si="27"/>
        <v>43962</v>
      </c>
      <c r="O35" s="102">
        <f t="shared" si="27"/>
        <v>43963</v>
      </c>
      <c r="P35" s="102">
        <f t="shared" si="27"/>
        <v>43964</v>
      </c>
      <c r="Q35" s="102">
        <f t="shared" si="27"/>
        <v>43965</v>
      </c>
      <c r="R35" s="102">
        <f t="shared" si="27"/>
        <v>43966</v>
      </c>
      <c r="S35" s="102">
        <f t="shared" si="27"/>
        <v>43967</v>
      </c>
      <c r="T35" s="102">
        <f t="shared" si="27"/>
        <v>43968</v>
      </c>
      <c r="U35" s="102">
        <f t="shared" si="27"/>
        <v>43969</v>
      </c>
      <c r="V35" s="102">
        <f t="shared" si="27"/>
        <v>43970</v>
      </c>
      <c r="W35" s="102">
        <f t="shared" si="27"/>
        <v>43971</v>
      </c>
      <c r="X35" s="102">
        <f t="shared" si="27"/>
        <v>43972</v>
      </c>
      <c r="Y35" s="102">
        <f t="shared" si="27"/>
        <v>43973</v>
      </c>
      <c r="Z35" s="102">
        <f t="shared" si="27"/>
        <v>43974</v>
      </c>
      <c r="AA35" s="102">
        <f t="shared" si="27"/>
        <v>43975</v>
      </c>
      <c r="AB35" s="102">
        <f t="shared" si="27"/>
        <v>43976</v>
      </c>
      <c r="AC35" s="102">
        <f t="shared" si="27"/>
        <v>43977</v>
      </c>
      <c r="AD35" s="102">
        <f t="shared" si="27"/>
        <v>43978</v>
      </c>
      <c r="AE35" s="102">
        <f t="shared" si="27"/>
        <v>43979</v>
      </c>
      <c r="AF35" s="102">
        <f t="shared" si="27"/>
        <v>43980</v>
      </c>
      <c r="AG35" s="102">
        <f t="shared" si="27"/>
        <v>43981</v>
      </c>
      <c r="AH35" s="102">
        <f t="shared" si="27"/>
        <v>43982</v>
      </c>
      <c r="AI35" s="102" t="str">
        <f t="shared" ref="AI35" si="28">IFERROR(IF(AH35+1&gt;$C$16,"",AH35+1),"")</f>
        <v/>
      </c>
      <c r="AJ35" s="102"/>
      <c r="AK35" s="102"/>
      <c r="AL35" s="102"/>
      <c r="AM35" s="102"/>
      <c r="AN35" s="102"/>
      <c r="AO35" s="102"/>
      <c r="AP35" s="77"/>
      <c r="AR35" s="77"/>
      <c r="AS35" s="77"/>
      <c r="AX35" s="77"/>
    </row>
    <row r="36" spans="2:50" ht="24" thickBot="1">
      <c r="B36" s="76" t="s">
        <v>12</v>
      </c>
      <c r="C36" s="103">
        <f>EOMONTH(C35,0)</f>
        <v>43982</v>
      </c>
      <c r="D36" s="217" t="s">
        <v>17</v>
      </c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O36" s="77"/>
      <c r="AP36" s="77"/>
      <c r="AR36" s="77"/>
      <c r="AS36" s="77"/>
      <c r="AX36" s="77"/>
    </row>
    <row r="37" spans="2:50">
      <c r="D37" s="104">
        <f>IFERROR(DAY(D35),"")</f>
        <v>1</v>
      </c>
      <c r="E37" s="105">
        <f t="shared" ref="E37:AH37" si="29">IFERROR(DAY(E35),"")</f>
        <v>2</v>
      </c>
      <c r="F37" s="105">
        <f t="shared" si="29"/>
        <v>3</v>
      </c>
      <c r="G37" s="105">
        <f t="shared" si="29"/>
        <v>4</v>
      </c>
      <c r="H37" s="105">
        <f t="shared" si="29"/>
        <v>5</v>
      </c>
      <c r="I37" s="105">
        <f t="shared" si="29"/>
        <v>6</v>
      </c>
      <c r="J37" s="105">
        <f t="shared" si="29"/>
        <v>7</v>
      </c>
      <c r="K37" s="105">
        <f t="shared" si="29"/>
        <v>8</v>
      </c>
      <c r="L37" s="105">
        <f t="shared" si="29"/>
        <v>9</v>
      </c>
      <c r="M37" s="105">
        <f t="shared" si="29"/>
        <v>10</v>
      </c>
      <c r="N37" s="105">
        <f t="shared" si="29"/>
        <v>11</v>
      </c>
      <c r="O37" s="105">
        <f t="shared" si="29"/>
        <v>12</v>
      </c>
      <c r="P37" s="105">
        <f t="shared" si="29"/>
        <v>13</v>
      </c>
      <c r="Q37" s="105">
        <f t="shared" si="29"/>
        <v>14</v>
      </c>
      <c r="R37" s="105">
        <f t="shared" si="29"/>
        <v>15</v>
      </c>
      <c r="S37" s="105">
        <f t="shared" si="29"/>
        <v>16</v>
      </c>
      <c r="T37" s="105">
        <f t="shared" si="29"/>
        <v>17</v>
      </c>
      <c r="U37" s="105">
        <f t="shared" si="29"/>
        <v>18</v>
      </c>
      <c r="V37" s="105">
        <f t="shared" si="29"/>
        <v>19</v>
      </c>
      <c r="W37" s="105">
        <f t="shared" si="29"/>
        <v>20</v>
      </c>
      <c r="X37" s="105">
        <f t="shared" si="29"/>
        <v>21</v>
      </c>
      <c r="Y37" s="105">
        <f t="shared" si="29"/>
        <v>22</v>
      </c>
      <c r="Z37" s="105">
        <f t="shared" si="29"/>
        <v>23</v>
      </c>
      <c r="AA37" s="105">
        <f t="shared" si="29"/>
        <v>24</v>
      </c>
      <c r="AB37" s="105">
        <f t="shared" si="29"/>
        <v>25</v>
      </c>
      <c r="AC37" s="105">
        <f t="shared" si="29"/>
        <v>26</v>
      </c>
      <c r="AD37" s="105">
        <f t="shared" si="29"/>
        <v>27</v>
      </c>
      <c r="AE37" s="105">
        <f t="shared" si="29"/>
        <v>28</v>
      </c>
      <c r="AF37" s="105">
        <f t="shared" si="29"/>
        <v>29</v>
      </c>
      <c r="AG37" s="105">
        <f t="shared" si="29"/>
        <v>30</v>
      </c>
      <c r="AH37" s="106">
        <f t="shared" si="29"/>
        <v>31</v>
      </c>
      <c r="AO37" s="77"/>
      <c r="AP37" s="77"/>
      <c r="AR37" s="77"/>
      <c r="AS37" s="77"/>
      <c r="AX37" s="77"/>
    </row>
    <row r="38" spans="2:50">
      <c r="D38" s="107">
        <f>IFERROR(WEEKDAY(D35,1),"")</f>
        <v>6</v>
      </c>
      <c r="E38" s="108">
        <f t="shared" ref="E38:AH38" si="30">IFERROR(WEEKDAY(E35,1),"")</f>
        <v>7</v>
      </c>
      <c r="F38" s="108">
        <f t="shared" si="30"/>
        <v>1</v>
      </c>
      <c r="G38" s="108">
        <f t="shared" si="30"/>
        <v>2</v>
      </c>
      <c r="H38" s="108">
        <f t="shared" si="30"/>
        <v>3</v>
      </c>
      <c r="I38" s="108">
        <f t="shared" si="30"/>
        <v>4</v>
      </c>
      <c r="J38" s="108">
        <f t="shared" si="30"/>
        <v>5</v>
      </c>
      <c r="K38" s="108">
        <f t="shared" si="30"/>
        <v>6</v>
      </c>
      <c r="L38" s="108">
        <f t="shared" si="30"/>
        <v>7</v>
      </c>
      <c r="M38" s="108">
        <f t="shared" si="30"/>
        <v>1</v>
      </c>
      <c r="N38" s="108">
        <f t="shared" si="30"/>
        <v>2</v>
      </c>
      <c r="O38" s="108">
        <f t="shared" si="30"/>
        <v>3</v>
      </c>
      <c r="P38" s="108">
        <f t="shared" si="30"/>
        <v>4</v>
      </c>
      <c r="Q38" s="108">
        <f t="shared" si="30"/>
        <v>5</v>
      </c>
      <c r="R38" s="108">
        <f t="shared" si="30"/>
        <v>6</v>
      </c>
      <c r="S38" s="108">
        <f t="shared" si="30"/>
        <v>7</v>
      </c>
      <c r="T38" s="108">
        <f t="shared" si="30"/>
        <v>1</v>
      </c>
      <c r="U38" s="108">
        <f t="shared" si="30"/>
        <v>2</v>
      </c>
      <c r="V38" s="108">
        <f t="shared" si="30"/>
        <v>3</v>
      </c>
      <c r="W38" s="108">
        <f t="shared" si="30"/>
        <v>4</v>
      </c>
      <c r="X38" s="108">
        <f t="shared" si="30"/>
        <v>5</v>
      </c>
      <c r="Y38" s="108">
        <f t="shared" si="30"/>
        <v>6</v>
      </c>
      <c r="Z38" s="108">
        <f t="shared" si="30"/>
        <v>7</v>
      </c>
      <c r="AA38" s="108">
        <f t="shared" si="30"/>
        <v>1</v>
      </c>
      <c r="AB38" s="108">
        <f t="shared" si="30"/>
        <v>2</v>
      </c>
      <c r="AC38" s="108">
        <f t="shared" si="30"/>
        <v>3</v>
      </c>
      <c r="AD38" s="108">
        <f t="shared" si="30"/>
        <v>4</v>
      </c>
      <c r="AE38" s="108">
        <f t="shared" si="30"/>
        <v>5</v>
      </c>
      <c r="AF38" s="108">
        <f t="shared" si="30"/>
        <v>6</v>
      </c>
      <c r="AG38" s="108">
        <f t="shared" si="30"/>
        <v>7</v>
      </c>
      <c r="AH38" s="109">
        <f t="shared" si="30"/>
        <v>1</v>
      </c>
      <c r="AI38" s="150" t="s">
        <v>30</v>
      </c>
      <c r="AJ38" s="125" t="s">
        <v>90</v>
      </c>
      <c r="AK38" s="126" t="s">
        <v>91</v>
      </c>
      <c r="AL38" s="110" t="s">
        <v>92</v>
      </c>
      <c r="AM38" s="127" t="s">
        <v>93</v>
      </c>
      <c r="AN38" s="142" t="s">
        <v>102</v>
      </c>
      <c r="AO38" s="114" t="s">
        <v>33</v>
      </c>
      <c r="AP38" s="115" t="s">
        <v>28</v>
      </c>
      <c r="AQ38" s="116" t="s">
        <v>32</v>
      </c>
      <c r="AR38" s="128" t="s">
        <v>94</v>
      </c>
      <c r="AS38" s="118" t="s">
        <v>0</v>
      </c>
      <c r="AT38" s="119" t="s">
        <v>1</v>
      </c>
      <c r="AU38" s="145" t="s">
        <v>114</v>
      </c>
      <c r="AV38" s="120" t="s">
        <v>35</v>
      </c>
      <c r="AW38" s="146" t="s">
        <v>116</v>
      </c>
      <c r="AX38" s="121" t="s">
        <v>71</v>
      </c>
    </row>
    <row r="39" spans="2:50" ht="15.75" thickBot="1">
      <c r="D39" s="122" t="str">
        <f t="array" ref="D39">IF(OR(D38=1),"",IFERROR(INDEX(Tableau1[],MATCH(1,(PLANNING!D35&gt;=Tableau1[Date début])*(Tableau1[Date de fin]&gt;=PLANNING!D35)*(Tableau1[Nom]=PLANNING!$S$2),0),5),""))</f>
        <v/>
      </c>
      <c r="E39" s="123" t="str">
        <f t="array" ref="E39">IF(OR(E38=1),"",IFERROR(INDEX(Tableau1[],MATCH(1,(PLANNING!E35&gt;=Tableau1[Date début])*(Tableau1[Date de fin]&gt;=PLANNING!E35)*(Tableau1[Nom]=PLANNING!$S$2),0),5),""))</f>
        <v/>
      </c>
      <c r="F39" s="123" t="str">
        <f t="array" ref="F39">IF(OR(F38=1),"",IFERROR(INDEX(Tableau1[],MATCH(1,(PLANNING!F35&gt;=Tableau1[Date début])*(Tableau1[Date de fin]&gt;=PLANNING!F35)*(Tableau1[Nom]=PLANNING!$S$2),0),5),""))</f>
        <v/>
      </c>
      <c r="G39" s="123" t="str">
        <f t="array" ref="G39">IF(OR(G38=1),"",IFERROR(INDEX(Tableau1[],MATCH(1,(PLANNING!G35&gt;=Tableau1[Date début])*(Tableau1[Date de fin]&gt;=PLANNING!G35)*(Tableau1[Nom]=PLANNING!$S$2),0),5),""))</f>
        <v/>
      </c>
      <c r="H39" s="123" t="str">
        <f t="array" ref="H39">IF(OR(H38=1),"",IFERROR(INDEX(Tableau1[],MATCH(1,(PLANNING!H35&gt;=Tableau1[Date début])*(Tableau1[Date de fin]&gt;=PLANNING!H35)*(Tableau1[Nom]=PLANNING!$S$2),0),5),""))</f>
        <v/>
      </c>
      <c r="I39" s="123" t="str">
        <f t="array" ref="I39">IF(OR(I38=1),"",IFERROR(INDEX(Tableau1[],MATCH(1,(PLANNING!I35&gt;=Tableau1[Date début])*(Tableau1[Date de fin]&gt;=PLANNING!I35)*(Tableau1[Nom]=PLANNING!$S$2),0),5),""))</f>
        <v/>
      </c>
      <c r="J39" s="123" t="str">
        <f t="array" ref="J39">IF(OR(J38=1),"",IFERROR(INDEX(Tableau1[],MATCH(1,(PLANNING!J35&gt;=Tableau1[Date début])*(Tableau1[Date de fin]&gt;=PLANNING!J35)*(Tableau1[Nom]=PLANNING!$S$2),0),5),""))</f>
        <v/>
      </c>
      <c r="K39" s="123" t="str">
        <f t="array" ref="K39">IF(OR(K38=1),"",IFERROR(INDEX(Tableau1[],MATCH(1,(PLANNING!K35&gt;=Tableau1[Date début])*(Tableau1[Date de fin]&gt;=PLANNING!K35)*(Tableau1[Nom]=PLANNING!$S$2),0),5),""))</f>
        <v/>
      </c>
      <c r="L39" s="123" t="str">
        <f t="array" ref="L39">IF(OR(L38=1),"",IFERROR(INDEX(Tableau1[],MATCH(1,(PLANNING!L35&gt;=Tableau1[Date début])*(Tableau1[Date de fin]&gt;=PLANNING!L35)*(Tableau1[Nom]=PLANNING!$S$2),0),5),""))</f>
        <v/>
      </c>
      <c r="M39" s="123" t="str">
        <f t="array" ref="M39">IF(OR(M38=1),"",IFERROR(INDEX(Tableau1[],MATCH(1,(PLANNING!M35&gt;=Tableau1[Date début])*(Tableau1[Date de fin]&gt;=PLANNING!M35)*(Tableau1[Nom]=PLANNING!$S$2),0),5),""))</f>
        <v/>
      </c>
      <c r="N39" s="123" t="str">
        <f t="array" ref="N39">IF(OR(N38=1),"",IFERROR(INDEX(Tableau1[],MATCH(1,(PLANNING!N35&gt;=Tableau1[Date début])*(Tableau1[Date de fin]&gt;=PLANNING!N35)*(Tableau1[Nom]=PLANNING!$S$2),0),5),""))</f>
        <v/>
      </c>
      <c r="O39" s="123" t="str">
        <f t="array" ref="O39">IF(OR(O38=1),"",IFERROR(INDEX(Tableau1[],MATCH(1,(PLANNING!O35&gt;=Tableau1[Date début])*(Tableau1[Date de fin]&gt;=PLANNING!O35)*(Tableau1[Nom]=PLANNING!$S$2),0),5),""))</f>
        <v/>
      </c>
      <c r="P39" s="123" t="str">
        <f t="array" ref="P39">IF(OR(P38=1),"",IFERROR(INDEX(Tableau1[],MATCH(1,(PLANNING!P35&gt;=Tableau1[Date début])*(Tableau1[Date de fin]&gt;=PLANNING!P35)*(Tableau1[Nom]=PLANNING!$S$2),0),5),""))</f>
        <v/>
      </c>
      <c r="Q39" s="123" t="str">
        <f t="array" ref="Q39">IF(OR(Q38=1),"",IFERROR(INDEX(Tableau1[],MATCH(1,(PLANNING!Q35&gt;=Tableau1[Date début])*(Tableau1[Date de fin]&gt;=PLANNING!Q35)*(Tableau1[Nom]=PLANNING!$S$2),0),5),""))</f>
        <v/>
      </c>
      <c r="R39" s="123" t="str">
        <f t="array" ref="R39">IF(OR(R38=1),"",IFERROR(INDEX(Tableau1[],MATCH(1,(PLANNING!R35&gt;=Tableau1[Date début])*(Tableau1[Date de fin]&gt;=PLANNING!R35)*(Tableau1[Nom]=PLANNING!$S$2),0),5),""))</f>
        <v/>
      </c>
      <c r="S39" s="123" t="str">
        <f t="array" ref="S39">IF(OR(S38=1),"",IFERROR(INDEX(Tableau1[],MATCH(1,(PLANNING!S35&gt;=Tableau1[Date début])*(Tableau1[Date de fin]&gt;=PLANNING!S35)*(Tableau1[Nom]=PLANNING!$S$2),0),5),""))</f>
        <v/>
      </c>
      <c r="T39" s="123" t="str">
        <f t="array" ref="T39">IF(OR(T38=1),"",IFERROR(INDEX(Tableau1[],MATCH(1,(PLANNING!T35&gt;=Tableau1[Date début])*(Tableau1[Date de fin]&gt;=PLANNING!T35)*(Tableau1[Nom]=PLANNING!$S$2),0),5),""))</f>
        <v/>
      </c>
      <c r="U39" s="123" t="str">
        <f t="array" ref="U39">IF(OR(U38=1),"",IFERROR(INDEX(Tableau1[],MATCH(1,(PLANNING!U35&gt;=Tableau1[Date début])*(Tableau1[Date de fin]&gt;=PLANNING!U35)*(Tableau1[Nom]=PLANNING!$S$2),0),5),""))</f>
        <v/>
      </c>
      <c r="V39" s="123" t="str">
        <f t="array" ref="V39">IF(OR(V38=1),"",IFERROR(INDEX(Tableau1[],MATCH(1,(PLANNING!V35&gt;=Tableau1[Date début])*(Tableau1[Date de fin]&gt;=PLANNING!V35)*(Tableau1[Nom]=PLANNING!$S$2),0),5),""))</f>
        <v/>
      </c>
      <c r="W39" s="123" t="str">
        <f t="array" ref="W39">IF(OR(W38=1),"",IFERROR(INDEX(Tableau1[],MATCH(1,(PLANNING!W35&gt;=Tableau1[Date début])*(Tableau1[Date de fin]&gt;=PLANNING!W35)*(Tableau1[Nom]=PLANNING!$S$2),0),5),""))</f>
        <v/>
      </c>
      <c r="X39" s="123" t="str">
        <f t="array" ref="X39">IF(OR(X38=1),"",IFERROR(INDEX(Tableau1[],MATCH(1,(PLANNING!X35&gt;=Tableau1[Date début])*(Tableau1[Date de fin]&gt;=PLANNING!X35)*(Tableau1[Nom]=PLANNING!$S$2),0),5),""))</f>
        <v/>
      </c>
      <c r="Y39" s="123" t="str">
        <f t="array" ref="Y39">IF(OR(Y38=1),"",IFERROR(INDEX(Tableau1[],MATCH(1,(PLANNING!Y35&gt;=Tableau1[Date début])*(Tableau1[Date de fin]&gt;=PLANNING!Y35)*(Tableau1[Nom]=PLANNING!$S$2),0),5),""))</f>
        <v/>
      </c>
      <c r="Z39" s="123" t="str">
        <f t="array" ref="Z39">IF(OR(Z38=1),"",IFERROR(INDEX(Tableau1[],MATCH(1,(PLANNING!Z35&gt;=Tableau1[Date début])*(Tableau1[Date de fin]&gt;=PLANNING!Z35)*(Tableau1[Nom]=PLANNING!$S$2),0),5),""))</f>
        <v/>
      </c>
      <c r="AA39" s="123" t="str">
        <f t="array" ref="AA39">IF(OR(AA38=1),"",IFERROR(INDEX(Tableau1[],MATCH(1,(PLANNING!AA35&gt;=Tableau1[Date début])*(Tableau1[Date de fin]&gt;=PLANNING!AA35)*(Tableau1[Nom]=PLANNING!$S$2),0),5),""))</f>
        <v/>
      </c>
      <c r="AB39" s="123" t="str">
        <f t="array" ref="AB39">IF(OR(AB38=1),"",IFERROR(INDEX(Tableau1[],MATCH(1,(PLANNING!AB35&gt;=Tableau1[Date début])*(Tableau1[Date de fin]&gt;=PLANNING!AB35)*(Tableau1[Nom]=PLANNING!$S$2),0),5),""))</f>
        <v/>
      </c>
      <c r="AC39" s="123" t="str">
        <f t="array" ref="AC39">IF(OR(AC38=1),"",IFERROR(INDEX(Tableau1[],MATCH(1,(PLANNING!AC35&gt;=Tableau1[Date début])*(Tableau1[Date de fin]&gt;=PLANNING!AC35)*(Tableau1[Nom]=PLANNING!$S$2),0),5),""))</f>
        <v/>
      </c>
      <c r="AD39" s="123" t="str">
        <f t="array" ref="AD39">IF(OR(AD38=1),"",IFERROR(INDEX(Tableau1[],MATCH(1,(PLANNING!AD35&gt;=Tableau1[Date début])*(Tableau1[Date de fin]&gt;=PLANNING!AD35)*(Tableau1[Nom]=PLANNING!$S$2),0),5),""))</f>
        <v/>
      </c>
      <c r="AE39" s="123" t="str">
        <f t="array" ref="AE39">IF(OR(AE38=1),"",IFERROR(INDEX(Tableau1[],MATCH(1,(PLANNING!AE35&gt;=Tableau1[Date début])*(Tableau1[Date de fin]&gt;=PLANNING!AE35)*(Tableau1[Nom]=PLANNING!$S$2),0),5),""))</f>
        <v/>
      </c>
      <c r="AF39" s="123" t="str">
        <f t="array" ref="AF39">IF(OR(AF38=1),"",IFERROR(INDEX(Tableau1[],MATCH(1,(PLANNING!AF35&gt;=Tableau1[Date début])*(Tableau1[Date de fin]&gt;=PLANNING!AF35)*(Tableau1[Nom]=PLANNING!$S$2),0),5),""))</f>
        <v/>
      </c>
      <c r="AG39" s="123" t="str">
        <f t="array" ref="AG39">IF(OR(AG38=1),"",IFERROR(INDEX(Tableau1[],MATCH(1,(PLANNING!AG35&gt;=Tableau1[Date début])*(Tableau1[Date de fin]&gt;=PLANNING!AG35)*(Tableau1[Nom]=PLANNING!$S$2),0),5),""))</f>
        <v/>
      </c>
      <c r="AH39" s="124" t="str">
        <f t="array" ref="AH39">IF(OR(AH38=1),"",IFERROR(INDEX(Tableau1[],MATCH(1,(PLANNING!AH35&gt;=Tableau1[Date début])*(Tableau1[Date de fin]&gt;=PLANNING!AH35)*(Tableau1[Nom]=PLANNING!$S$2),0),5),""))</f>
        <v/>
      </c>
      <c r="AI39" s="77">
        <f>COUNTIF($D$39:$AH$39,AI38)</f>
        <v>0</v>
      </c>
      <c r="AJ39" s="77">
        <f t="shared" ref="AJ39:AR39" si="31">COUNTIF($D$39:$AH$39,AJ38)</f>
        <v>0</v>
      </c>
      <c r="AK39" s="77">
        <f t="shared" si="31"/>
        <v>0</v>
      </c>
      <c r="AL39" s="77">
        <f t="shared" si="31"/>
        <v>0</v>
      </c>
      <c r="AM39" s="77">
        <f>COUNTIF($D$39:$AH$39,AM38)</f>
        <v>0</v>
      </c>
      <c r="AN39" s="77">
        <f>COUNTIF($D$39:$AH$39,AN38)</f>
        <v>0</v>
      </c>
      <c r="AO39" s="77">
        <f t="shared" si="31"/>
        <v>0</v>
      </c>
      <c r="AP39" s="77">
        <f t="shared" si="31"/>
        <v>0</v>
      </c>
      <c r="AQ39" s="77">
        <f t="shared" si="31"/>
        <v>0</v>
      </c>
      <c r="AR39" s="77">
        <f t="shared" si="31"/>
        <v>0</v>
      </c>
      <c r="AS39" s="77">
        <f t="shared" ref="AS39:AV39" si="32">COUNTIF($D$39:$AH$39,AS38)</f>
        <v>0</v>
      </c>
      <c r="AT39" s="77">
        <f>COUNTIF($D$39:$AH$39,AT38)</f>
        <v>0</v>
      </c>
      <c r="AU39" s="77">
        <f>COUNTIF($D$39:$AH$39,AU38)</f>
        <v>0</v>
      </c>
      <c r="AV39" s="77">
        <f t="shared" si="32"/>
        <v>0</v>
      </c>
      <c r="AW39" s="77">
        <f>COUNTIF($D$39:$AH$39,AW38)</f>
        <v>0</v>
      </c>
      <c r="AX39" s="77">
        <f>CALENDRIER!AC23</f>
        <v>3</v>
      </c>
    </row>
    <row r="40" spans="2:50" ht="57" hidden="1" customHeight="1" thickBot="1">
      <c r="B40" s="76" t="s">
        <v>11</v>
      </c>
      <c r="C40" s="101">
        <f>DATE($D$2,MONTH(1&amp;"/"&amp;D41),1)</f>
        <v>43983</v>
      </c>
      <c r="D40" s="102">
        <f>C40</f>
        <v>43983</v>
      </c>
      <c r="E40" s="102">
        <f>IFERROR(IF(D40+1&gt;$C$41,"",D40+1),"")</f>
        <v>43984</v>
      </c>
      <c r="F40" s="102">
        <f t="shared" ref="F40:AH40" si="33">IFERROR(IF(E40+1&gt;$C$41,"",E40+1),"")</f>
        <v>43985</v>
      </c>
      <c r="G40" s="102">
        <f t="shared" si="33"/>
        <v>43986</v>
      </c>
      <c r="H40" s="102">
        <f t="shared" si="33"/>
        <v>43987</v>
      </c>
      <c r="I40" s="102">
        <f t="shared" si="33"/>
        <v>43988</v>
      </c>
      <c r="J40" s="102">
        <f t="shared" si="33"/>
        <v>43989</v>
      </c>
      <c r="K40" s="102">
        <f t="shared" si="33"/>
        <v>43990</v>
      </c>
      <c r="L40" s="102">
        <f t="shared" si="33"/>
        <v>43991</v>
      </c>
      <c r="M40" s="102">
        <f t="shared" si="33"/>
        <v>43992</v>
      </c>
      <c r="N40" s="102">
        <f t="shared" si="33"/>
        <v>43993</v>
      </c>
      <c r="O40" s="102">
        <f t="shared" si="33"/>
        <v>43994</v>
      </c>
      <c r="P40" s="102">
        <f t="shared" si="33"/>
        <v>43995</v>
      </c>
      <c r="Q40" s="102">
        <f t="shared" si="33"/>
        <v>43996</v>
      </c>
      <c r="R40" s="102">
        <f t="shared" si="33"/>
        <v>43997</v>
      </c>
      <c r="S40" s="102">
        <f t="shared" si="33"/>
        <v>43998</v>
      </c>
      <c r="T40" s="102">
        <f t="shared" si="33"/>
        <v>43999</v>
      </c>
      <c r="U40" s="102">
        <f t="shared" si="33"/>
        <v>44000</v>
      </c>
      <c r="V40" s="102">
        <f t="shared" si="33"/>
        <v>44001</v>
      </c>
      <c r="W40" s="102">
        <f t="shared" si="33"/>
        <v>44002</v>
      </c>
      <c r="X40" s="102">
        <f t="shared" si="33"/>
        <v>44003</v>
      </c>
      <c r="Y40" s="102">
        <f t="shared" si="33"/>
        <v>44004</v>
      </c>
      <c r="Z40" s="102">
        <f t="shared" si="33"/>
        <v>44005</v>
      </c>
      <c r="AA40" s="102">
        <f t="shared" si="33"/>
        <v>44006</v>
      </c>
      <c r="AB40" s="102">
        <f t="shared" si="33"/>
        <v>44007</v>
      </c>
      <c r="AC40" s="102">
        <f t="shared" si="33"/>
        <v>44008</v>
      </c>
      <c r="AD40" s="102">
        <f t="shared" si="33"/>
        <v>44009</v>
      </c>
      <c r="AE40" s="102">
        <f t="shared" si="33"/>
        <v>44010</v>
      </c>
      <c r="AF40" s="102">
        <f t="shared" si="33"/>
        <v>44011</v>
      </c>
      <c r="AG40" s="102">
        <f t="shared" si="33"/>
        <v>44012</v>
      </c>
      <c r="AH40" s="102" t="str">
        <f t="shared" si="33"/>
        <v/>
      </c>
      <c r="AI40" s="102" t="str">
        <f t="shared" ref="AI40" si="34">IFERROR(IF(AH40+1&gt;$C$16,"",AH40+1),"")</f>
        <v/>
      </c>
      <c r="AJ40" s="102"/>
      <c r="AK40" s="102"/>
      <c r="AL40" s="102"/>
      <c r="AM40" s="102"/>
      <c r="AN40" s="102"/>
      <c r="AO40" s="102"/>
      <c r="AP40" s="77"/>
      <c r="AR40" s="77"/>
      <c r="AS40" s="77"/>
      <c r="AX40" s="77"/>
    </row>
    <row r="41" spans="2:50" ht="24" thickBot="1">
      <c r="B41" s="76" t="s">
        <v>12</v>
      </c>
      <c r="C41" s="103">
        <f>EOMONTH(C40,0)</f>
        <v>44012</v>
      </c>
      <c r="D41" s="217" t="s">
        <v>18</v>
      </c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O41" s="77"/>
      <c r="AP41" s="77"/>
      <c r="AR41" s="77"/>
      <c r="AS41" s="77"/>
      <c r="AX41" s="77"/>
    </row>
    <row r="42" spans="2:50">
      <c r="D42" s="104">
        <f>IFERROR(DAY(D40),"")</f>
        <v>1</v>
      </c>
      <c r="E42" s="105">
        <f t="shared" ref="E42:AH42" si="35">IFERROR(DAY(E40),"")</f>
        <v>2</v>
      </c>
      <c r="F42" s="105">
        <f t="shared" si="35"/>
        <v>3</v>
      </c>
      <c r="G42" s="105">
        <f t="shared" si="35"/>
        <v>4</v>
      </c>
      <c r="H42" s="105">
        <f t="shared" si="35"/>
        <v>5</v>
      </c>
      <c r="I42" s="105">
        <f t="shared" si="35"/>
        <v>6</v>
      </c>
      <c r="J42" s="105">
        <f t="shared" si="35"/>
        <v>7</v>
      </c>
      <c r="K42" s="105">
        <f t="shared" si="35"/>
        <v>8</v>
      </c>
      <c r="L42" s="105">
        <f t="shared" si="35"/>
        <v>9</v>
      </c>
      <c r="M42" s="105">
        <f t="shared" si="35"/>
        <v>10</v>
      </c>
      <c r="N42" s="105">
        <f t="shared" si="35"/>
        <v>11</v>
      </c>
      <c r="O42" s="105">
        <f t="shared" si="35"/>
        <v>12</v>
      </c>
      <c r="P42" s="105">
        <f t="shared" si="35"/>
        <v>13</v>
      </c>
      <c r="Q42" s="105">
        <f t="shared" si="35"/>
        <v>14</v>
      </c>
      <c r="R42" s="105">
        <f t="shared" si="35"/>
        <v>15</v>
      </c>
      <c r="S42" s="105">
        <f t="shared" si="35"/>
        <v>16</v>
      </c>
      <c r="T42" s="105">
        <f t="shared" si="35"/>
        <v>17</v>
      </c>
      <c r="U42" s="105">
        <f t="shared" si="35"/>
        <v>18</v>
      </c>
      <c r="V42" s="105">
        <f t="shared" si="35"/>
        <v>19</v>
      </c>
      <c r="W42" s="105">
        <f t="shared" si="35"/>
        <v>20</v>
      </c>
      <c r="X42" s="105">
        <f t="shared" si="35"/>
        <v>21</v>
      </c>
      <c r="Y42" s="105">
        <f t="shared" si="35"/>
        <v>22</v>
      </c>
      <c r="Z42" s="105">
        <f t="shared" si="35"/>
        <v>23</v>
      </c>
      <c r="AA42" s="105">
        <f t="shared" si="35"/>
        <v>24</v>
      </c>
      <c r="AB42" s="105">
        <f t="shared" si="35"/>
        <v>25</v>
      </c>
      <c r="AC42" s="105">
        <f t="shared" si="35"/>
        <v>26</v>
      </c>
      <c r="AD42" s="105">
        <f t="shared" si="35"/>
        <v>27</v>
      </c>
      <c r="AE42" s="105">
        <f t="shared" si="35"/>
        <v>28</v>
      </c>
      <c r="AF42" s="105">
        <f t="shared" si="35"/>
        <v>29</v>
      </c>
      <c r="AG42" s="105">
        <f t="shared" si="35"/>
        <v>30</v>
      </c>
      <c r="AH42" s="106" t="str">
        <f t="shared" si="35"/>
        <v/>
      </c>
      <c r="AO42" s="77"/>
      <c r="AP42" s="77"/>
      <c r="AR42" s="77"/>
      <c r="AS42" s="77"/>
      <c r="AX42" s="77"/>
    </row>
    <row r="43" spans="2:50">
      <c r="D43" s="107">
        <f>IFERROR(WEEKDAY(D40,1),"")</f>
        <v>2</v>
      </c>
      <c r="E43" s="108">
        <f t="shared" ref="E43:AH43" si="36">IFERROR(WEEKDAY(E40,1),"")</f>
        <v>3</v>
      </c>
      <c r="F43" s="108">
        <f t="shared" si="36"/>
        <v>4</v>
      </c>
      <c r="G43" s="108">
        <f t="shared" si="36"/>
        <v>5</v>
      </c>
      <c r="H43" s="108">
        <f t="shared" si="36"/>
        <v>6</v>
      </c>
      <c r="I43" s="108">
        <f t="shared" si="36"/>
        <v>7</v>
      </c>
      <c r="J43" s="108">
        <f t="shared" si="36"/>
        <v>1</v>
      </c>
      <c r="K43" s="108">
        <f t="shared" si="36"/>
        <v>2</v>
      </c>
      <c r="L43" s="108">
        <f t="shared" si="36"/>
        <v>3</v>
      </c>
      <c r="M43" s="108">
        <f t="shared" si="36"/>
        <v>4</v>
      </c>
      <c r="N43" s="108">
        <f t="shared" si="36"/>
        <v>5</v>
      </c>
      <c r="O43" s="108">
        <f t="shared" si="36"/>
        <v>6</v>
      </c>
      <c r="P43" s="108">
        <f t="shared" si="36"/>
        <v>7</v>
      </c>
      <c r="Q43" s="108">
        <f t="shared" si="36"/>
        <v>1</v>
      </c>
      <c r="R43" s="108">
        <f t="shared" si="36"/>
        <v>2</v>
      </c>
      <c r="S43" s="108">
        <f t="shared" si="36"/>
        <v>3</v>
      </c>
      <c r="T43" s="108">
        <f t="shared" si="36"/>
        <v>4</v>
      </c>
      <c r="U43" s="108">
        <f t="shared" si="36"/>
        <v>5</v>
      </c>
      <c r="V43" s="108">
        <f t="shared" si="36"/>
        <v>6</v>
      </c>
      <c r="W43" s="108">
        <f t="shared" si="36"/>
        <v>7</v>
      </c>
      <c r="X43" s="108">
        <f t="shared" si="36"/>
        <v>1</v>
      </c>
      <c r="Y43" s="108">
        <f t="shared" si="36"/>
        <v>2</v>
      </c>
      <c r="Z43" s="108">
        <f t="shared" si="36"/>
        <v>3</v>
      </c>
      <c r="AA43" s="108">
        <f t="shared" si="36"/>
        <v>4</v>
      </c>
      <c r="AB43" s="108">
        <f t="shared" si="36"/>
        <v>5</v>
      </c>
      <c r="AC43" s="108">
        <f t="shared" si="36"/>
        <v>6</v>
      </c>
      <c r="AD43" s="108">
        <f t="shared" si="36"/>
        <v>7</v>
      </c>
      <c r="AE43" s="108">
        <f t="shared" si="36"/>
        <v>1</v>
      </c>
      <c r="AF43" s="108">
        <f t="shared" si="36"/>
        <v>2</v>
      </c>
      <c r="AG43" s="108">
        <f t="shared" si="36"/>
        <v>3</v>
      </c>
      <c r="AH43" s="109" t="str">
        <f t="shared" si="36"/>
        <v/>
      </c>
      <c r="AI43" s="150" t="s">
        <v>30</v>
      </c>
      <c r="AJ43" s="125" t="s">
        <v>90</v>
      </c>
      <c r="AK43" s="126" t="s">
        <v>91</v>
      </c>
      <c r="AL43" s="110" t="s">
        <v>92</v>
      </c>
      <c r="AM43" s="127" t="s">
        <v>93</v>
      </c>
      <c r="AN43" s="142" t="s">
        <v>102</v>
      </c>
      <c r="AO43" s="114" t="s">
        <v>33</v>
      </c>
      <c r="AP43" s="115" t="s">
        <v>28</v>
      </c>
      <c r="AQ43" s="116" t="s">
        <v>32</v>
      </c>
      <c r="AR43" s="128" t="s">
        <v>94</v>
      </c>
      <c r="AS43" s="118" t="s">
        <v>0</v>
      </c>
      <c r="AT43" s="119" t="s">
        <v>1</v>
      </c>
      <c r="AU43" s="145" t="s">
        <v>114</v>
      </c>
      <c r="AV43" s="120" t="s">
        <v>35</v>
      </c>
      <c r="AW43" s="146" t="s">
        <v>116</v>
      </c>
      <c r="AX43" s="121" t="s">
        <v>71</v>
      </c>
    </row>
    <row r="44" spans="2:50" ht="15.75" thickBot="1">
      <c r="D44" s="122" t="str">
        <f t="array" ref="D44">IF(OR(D43=1),"",IFERROR(INDEX(Tableau1[],MATCH(1,(PLANNING!D40&gt;=Tableau1[Date début])*(Tableau1[Date de fin]&gt;=PLANNING!D40)*(Tableau1[Nom]=PLANNING!$S$2),0),5),""))</f>
        <v/>
      </c>
      <c r="E44" s="123" t="str">
        <f t="array" ref="E44">IF(OR(E43=1),"",IFERROR(INDEX(Tableau1[],MATCH(1,(PLANNING!E40&gt;=Tableau1[Date début])*(Tableau1[Date de fin]&gt;=PLANNING!E40)*(Tableau1[Nom]=PLANNING!$S$2),0),5),""))</f>
        <v/>
      </c>
      <c r="F44" s="123" t="str">
        <f t="array" ref="F44">IF(OR(F43=1),"",IFERROR(INDEX(Tableau1[],MATCH(1,(PLANNING!F40&gt;=Tableau1[Date début])*(Tableau1[Date de fin]&gt;=PLANNING!F40)*(Tableau1[Nom]=PLANNING!$S$2),0),5),""))</f>
        <v/>
      </c>
      <c r="G44" s="123" t="str">
        <f t="array" ref="G44">IF(OR(G43=1),"",IFERROR(INDEX(Tableau1[],MATCH(1,(PLANNING!G40&gt;=Tableau1[Date début])*(Tableau1[Date de fin]&gt;=PLANNING!G40)*(Tableau1[Nom]=PLANNING!$S$2),0),5),""))</f>
        <v/>
      </c>
      <c r="H44" s="123" t="str">
        <f t="array" ref="H44">IF(OR(H43=1),"",IFERROR(INDEX(Tableau1[],MATCH(1,(PLANNING!H40&gt;=Tableau1[Date début])*(Tableau1[Date de fin]&gt;=PLANNING!H40)*(Tableau1[Nom]=PLANNING!$S$2),0),5),""))</f>
        <v/>
      </c>
      <c r="I44" s="123" t="str">
        <f t="array" ref="I44">IF(OR(I43=1),"",IFERROR(INDEX(Tableau1[],MATCH(1,(PLANNING!I40&gt;=Tableau1[Date début])*(Tableau1[Date de fin]&gt;=PLANNING!I40)*(Tableau1[Nom]=PLANNING!$S$2),0),5),""))</f>
        <v/>
      </c>
      <c r="J44" s="123" t="str">
        <f t="array" ref="J44">IF(OR(J43=1),"",IFERROR(INDEX(Tableau1[],MATCH(1,(PLANNING!J40&gt;=Tableau1[Date début])*(Tableau1[Date de fin]&gt;=PLANNING!J40)*(Tableau1[Nom]=PLANNING!$S$2),0),5),""))</f>
        <v/>
      </c>
      <c r="K44" s="123" t="str">
        <f t="array" ref="K44">IF(OR(K43=1),"",IFERROR(INDEX(Tableau1[],MATCH(1,(PLANNING!K40&gt;=Tableau1[Date début])*(Tableau1[Date de fin]&gt;=PLANNING!K40)*(Tableau1[Nom]=PLANNING!$S$2),0),5),""))</f>
        <v/>
      </c>
      <c r="L44" s="123" t="str">
        <f t="array" ref="L44">IF(OR(L43=1),"",IFERROR(INDEX(Tableau1[],MATCH(1,(PLANNING!L40&gt;=Tableau1[Date début])*(Tableau1[Date de fin]&gt;=PLANNING!L40)*(Tableau1[Nom]=PLANNING!$S$2),0),5),""))</f>
        <v/>
      </c>
      <c r="M44" s="123" t="str">
        <f t="array" ref="M44">IF(OR(M43=1),"",IFERROR(INDEX(Tableau1[],MATCH(1,(PLANNING!M40&gt;=Tableau1[Date début])*(Tableau1[Date de fin]&gt;=PLANNING!M40)*(Tableau1[Nom]=PLANNING!$S$2),0),5),""))</f>
        <v/>
      </c>
      <c r="N44" s="123" t="str">
        <f t="array" ref="N44">IF(OR(N43=1),"",IFERROR(INDEX(Tableau1[],MATCH(1,(PLANNING!N40&gt;=Tableau1[Date début])*(Tableau1[Date de fin]&gt;=PLANNING!N40)*(Tableau1[Nom]=PLANNING!$S$2),0),5),""))</f>
        <v/>
      </c>
      <c r="O44" s="123" t="str">
        <f t="array" ref="O44">IF(OR(O43=1),"",IFERROR(INDEX(Tableau1[],MATCH(1,(PLANNING!O40&gt;=Tableau1[Date début])*(Tableau1[Date de fin]&gt;=PLANNING!O40)*(Tableau1[Nom]=PLANNING!$S$2),0),5),""))</f>
        <v/>
      </c>
      <c r="P44" s="123" t="str">
        <f t="array" ref="P44">IF(OR(P43=1),"",IFERROR(INDEX(Tableau1[],MATCH(1,(PLANNING!P40&gt;=Tableau1[Date début])*(Tableau1[Date de fin]&gt;=PLANNING!P40)*(Tableau1[Nom]=PLANNING!$S$2),0),5),""))</f>
        <v/>
      </c>
      <c r="Q44" s="123" t="str">
        <f t="array" ref="Q44">IF(OR(Q43=1),"",IFERROR(INDEX(Tableau1[],MATCH(1,(PLANNING!Q40&gt;=Tableau1[Date début])*(Tableau1[Date de fin]&gt;=PLANNING!Q40)*(Tableau1[Nom]=PLANNING!$S$2),0),5),""))</f>
        <v/>
      </c>
      <c r="R44" s="123" t="str">
        <f t="array" ref="R44">IF(OR(R43=1),"",IFERROR(INDEX(Tableau1[],MATCH(1,(PLANNING!R40&gt;=Tableau1[Date début])*(Tableau1[Date de fin]&gt;=PLANNING!R40)*(Tableau1[Nom]=PLANNING!$S$2),0),5),""))</f>
        <v/>
      </c>
      <c r="S44" s="123" t="str">
        <f t="array" ref="S44">IF(OR(S43=1),"",IFERROR(INDEX(Tableau1[],MATCH(1,(PLANNING!S40&gt;=Tableau1[Date début])*(Tableau1[Date de fin]&gt;=PLANNING!S40)*(Tableau1[Nom]=PLANNING!$S$2),0),5),""))</f>
        <v/>
      </c>
      <c r="T44" s="123" t="str">
        <f t="array" ref="T44">IF(OR(T43=1),"",IFERROR(INDEX(Tableau1[],MATCH(1,(PLANNING!T40&gt;=Tableau1[Date début])*(Tableau1[Date de fin]&gt;=PLANNING!T40)*(Tableau1[Nom]=PLANNING!$S$2),0),5),""))</f>
        <v/>
      </c>
      <c r="U44" s="123" t="str">
        <f t="array" ref="U44">IF(OR(U43=1),"",IFERROR(INDEX(Tableau1[],MATCH(1,(PLANNING!U40&gt;=Tableau1[Date début])*(Tableau1[Date de fin]&gt;=PLANNING!U40)*(Tableau1[Nom]=PLANNING!$S$2),0),5),""))</f>
        <v/>
      </c>
      <c r="V44" s="123" t="str">
        <f t="array" ref="V44">IF(OR(V43=1),"",IFERROR(INDEX(Tableau1[],MATCH(1,(PLANNING!V40&gt;=Tableau1[Date début])*(Tableau1[Date de fin]&gt;=PLANNING!V40)*(Tableau1[Nom]=PLANNING!$S$2),0),5),""))</f>
        <v/>
      </c>
      <c r="W44" s="123" t="str">
        <f t="array" ref="W44">IF(OR(W43=1),"",IFERROR(INDEX(Tableau1[],MATCH(1,(PLANNING!W40&gt;=Tableau1[Date début])*(Tableau1[Date de fin]&gt;=PLANNING!W40)*(Tableau1[Nom]=PLANNING!$S$2),0),5),""))</f>
        <v/>
      </c>
      <c r="X44" s="123" t="str">
        <f t="array" ref="X44">IF(OR(X43=1),"",IFERROR(INDEX(Tableau1[],MATCH(1,(PLANNING!X40&gt;=Tableau1[Date début])*(Tableau1[Date de fin]&gt;=PLANNING!X40)*(Tableau1[Nom]=PLANNING!$S$2),0),5),""))</f>
        <v/>
      </c>
      <c r="Y44" s="123" t="str">
        <f t="array" ref="Y44">IF(OR(Y43=1),"",IFERROR(INDEX(Tableau1[],MATCH(1,(PLANNING!Y40&gt;=Tableau1[Date début])*(Tableau1[Date de fin]&gt;=PLANNING!Y40)*(Tableau1[Nom]=PLANNING!$S$2),0),5),""))</f>
        <v/>
      </c>
      <c r="Z44" s="123" t="str">
        <f t="array" ref="Z44">IF(OR(Z43=1),"",IFERROR(INDEX(Tableau1[],MATCH(1,(PLANNING!Z40&gt;=Tableau1[Date début])*(Tableau1[Date de fin]&gt;=PLANNING!Z40)*(Tableau1[Nom]=PLANNING!$S$2),0),5),""))</f>
        <v/>
      </c>
      <c r="AA44" s="123" t="str">
        <f t="array" ref="AA44">IF(OR(AA43=1),"",IFERROR(INDEX(Tableau1[],MATCH(1,(PLANNING!AA40&gt;=Tableau1[Date début])*(Tableau1[Date de fin]&gt;=PLANNING!AA40)*(Tableau1[Nom]=PLANNING!$S$2),0),5),""))</f>
        <v/>
      </c>
      <c r="AB44" s="123" t="str">
        <f t="array" ref="AB44">IF(OR(AB43=1),"",IFERROR(INDEX(Tableau1[],MATCH(1,(PLANNING!AB40&gt;=Tableau1[Date début])*(Tableau1[Date de fin]&gt;=PLANNING!AB40)*(Tableau1[Nom]=PLANNING!$S$2),0),5),""))</f>
        <v/>
      </c>
      <c r="AC44" s="123" t="str">
        <f t="array" ref="AC44">IF(OR(AC43=1),"",IFERROR(INDEX(Tableau1[],MATCH(1,(PLANNING!AC40&gt;=Tableau1[Date début])*(Tableau1[Date de fin]&gt;=PLANNING!AC40)*(Tableau1[Nom]=PLANNING!$S$2),0),5),""))</f>
        <v/>
      </c>
      <c r="AD44" s="123" t="str">
        <f t="array" ref="AD44">IF(OR(AD43=1),"",IFERROR(INDEX(Tableau1[],MATCH(1,(PLANNING!AD40&gt;=Tableau1[Date début])*(Tableau1[Date de fin]&gt;=PLANNING!AD40)*(Tableau1[Nom]=PLANNING!$S$2),0),5),""))</f>
        <v/>
      </c>
      <c r="AE44" s="123" t="str">
        <f t="array" ref="AE44">IF(OR(AE43=1),"",IFERROR(INDEX(Tableau1[],MATCH(1,(PLANNING!AE40&gt;=Tableau1[Date début])*(Tableau1[Date de fin]&gt;=PLANNING!AE40)*(Tableau1[Nom]=PLANNING!$S$2),0),5),""))</f>
        <v/>
      </c>
      <c r="AF44" s="123" t="str">
        <f t="array" ref="AF44">IF(OR(AF43=1),"",IFERROR(INDEX(Tableau1[],MATCH(1,(PLANNING!AF40&gt;=Tableau1[Date début])*(Tableau1[Date de fin]&gt;=PLANNING!AF40)*(Tableau1[Nom]=PLANNING!$S$2),0),5),""))</f>
        <v/>
      </c>
      <c r="AG44" s="123" t="str">
        <f t="array" ref="AG44">IF(OR(AG43=1),"",IFERROR(INDEX(Tableau1[],MATCH(1,(PLANNING!AG40&gt;=Tableau1[Date début])*(Tableau1[Date de fin]&gt;=PLANNING!AG40)*(Tableau1[Nom]=PLANNING!$S$2),0),5),""))</f>
        <v/>
      </c>
      <c r="AH44" s="123" t="str">
        <f t="array" ref="AH44">IF(OR(AH43=1),"",IFERROR(INDEX(Tableau1[],MATCH(1,(PLANNING!AH40&gt;=Tableau1[Date début])*(Tableau1[Date de fin]&gt;=PLANNING!AH40)*(Tableau1[Nom]=PLANNING!$S$2),0),5),""))</f>
        <v/>
      </c>
      <c r="AI44" s="77">
        <f t="shared" ref="AI44:AW44" si="37">COUNTIF($D$44:$AH$44,AI43)</f>
        <v>0</v>
      </c>
      <c r="AJ44" s="77">
        <f t="shared" si="37"/>
        <v>0</v>
      </c>
      <c r="AK44" s="77">
        <f t="shared" si="37"/>
        <v>0</v>
      </c>
      <c r="AL44" s="77">
        <f t="shared" si="37"/>
        <v>0</v>
      </c>
      <c r="AM44" s="77">
        <f t="shared" si="37"/>
        <v>0</v>
      </c>
      <c r="AN44" s="77">
        <f t="shared" si="37"/>
        <v>0</v>
      </c>
      <c r="AO44" s="77">
        <f t="shared" si="37"/>
        <v>0</v>
      </c>
      <c r="AP44" s="77">
        <f t="shared" si="37"/>
        <v>0</v>
      </c>
      <c r="AQ44" s="77">
        <f t="shared" si="37"/>
        <v>0</v>
      </c>
      <c r="AR44" s="77">
        <f t="shared" si="37"/>
        <v>0</v>
      </c>
      <c r="AS44" s="77">
        <f t="shared" si="37"/>
        <v>0</v>
      </c>
      <c r="AT44" s="77">
        <f t="shared" si="37"/>
        <v>0</v>
      </c>
      <c r="AU44" s="77">
        <f t="shared" si="37"/>
        <v>0</v>
      </c>
      <c r="AV44" s="77">
        <f t="shared" si="37"/>
        <v>0</v>
      </c>
      <c r="AW44" s="77">
        <f t="shared" si="37"/>
        <v>0</v>
      </c>
      <c r="AX44" s="77">
        <f>CALENDRIER!AC24</f>
        <v>1</v>
      </c>
    </row>
    <row r="45" spans="2:50" ht="57" hidden="1" customHeight="1" thickBot="1">
      <c r="B45" s="76" t="s">
        <v>11</v>
      </c>
      <c r="C45" s="101">
        <f>DATE($D$2,MONTH(1&amp;"/"&amp;D46),1)</f>
        <v>44013</v>
      </c>
      <c r="D45" s="102">
        <f>C45</f>
        <v>44013</v>
      </c>
      <c r="E45" s="102">
        <f>IFERROR(IF(D45+1&gt;$C$46,"",D45+1),"")</f>
        <v>44014</v>
      </c>
      <c r="F45" s="102">
        <f t="shared" ref="F45:AH45" si="38">IFERROR(IF(E45+1&gt;$C$46,"",E45+1),"")</f>
        <v>44015</v>
      </c>
      <c r="G45" s="102">
        <f t="shared" si="38"/>
        <v>44016</v>
      </c>
      <c r="H45" s="102">
        <f t="shared" si="38"/>
        <v>44017</v>
      </c>
      <c r="I45" s="102">
        <f t="shared" si="38"/>
        <v>44018</v>
      </c>
      <c r="J45" s="102">
        <f t="shared" si="38"/>
        <v>44019</v>
      </c>
      <c r="K45" s="102">
        <f t="shared" si="38"/>
        <v>44020</v>
      </c>
      <c r="L45" s="102">
        <f t="shared" si="38"/>
        <v>44021</v>
      </c>
      <c r="M45" s="102">
        <f t="shared" si="38"/>
        <v>44022</v>
      </c>
      <c r="N45" s="102">
        <f t="shared" si="38"/>
        <v>44023</v>
      </c>
      <c r="O45" s="102">
        <f t="shared" si="38"/>
        <v>44024</v>
      </c>
      <c r="P45" s="102">
        <f t="shared" si="38"/>
        <v>44025</v>
      </c>
      <c r="Q45" s="102">
        <f t="shared" si="38"/>
        <v>44026</v>
      </c>
      <c r="R45" s="102">
        <f t="shared" si="38"/>
        <v>44027</v>
      </c>
      <c r="S45" s="102">
        <f t="shared" si="38"/>
        <v>44028</v>
      </c>
      <c r="T45" s="102">
        <f t="shared" si="38"/>
        <v>44029</v>
      </c>
      <c r="U45" s="102">
        <f t="shared" si="38"/>
        <v>44030</v>
      </c>
      <c r="V45" s="102">
        <f t="shared" si="38"/>
        <v>44031</v>
      </c>
      <c r="W45" s="102">
        <f t="shared" si="38"/>
        <v>44032</v>
      </c>
      <c r="X45" s="102">
        <f t="shared" si="38"/>
        <v>44033</v>
      </c>
      <c r="Y45" s="102">
        <f t="shared" si="38"/>
        <v>44034</v>
      </c>
      <c r="Z45" s="102">
        <f t="shared" si="38"/>
        <v>44035</v>
      </c>
      <c r="AA45" s="102">
        <f t="shared" si="38"/>
        <v>44036</v>
      </c>
      <c r="AB45" s="102">
        <f t="shared" si="38"/>
        <v>44037</v>
      </c>
      <c r="AC45" s="102">
        <f t="shared" si="38"/>
        <v>44038</v>
      </c>
      <c r="AD45" s="102">
        <f t="shared" si="38"/>
        <v>44039</v>
      </c>
      <c r="AE45" s="102">
        <f t="shared" si="38"/>
        <v>44040</v>
      </c>
      <c r="AF45" s="102">
        <f t="shared" si="38"/>
        <v>44041</v>
      </c>
      <c r="AG45" s="102">
        <f t="shared" si="38"/>
        <v>44042</v>
      </c>
      <c r="AH45" s="102">
        <f t="shared" si="38"/>
        <v>44043</v>
      </c>
      <c r="AI45" s="102" t="str">
        <f t="shared" ref="AI45" si="39">IFERROR(IF(AH45+1&gt;$C$16,"",AH45+1),"")</f>
        <v/>
      </c>
      <c r="AJ45" s="102"/>
      <c r="AK45" s="102"/>
      <c r="AL45" s="102"/>
      <c r="AM45" s="102"/>
      <c r="AN45" s="102"/>
      <c r="AO45" s="102"/>
      <c r="AP45" s="77"/>
      <c r="AR45" s="77"/>
      <c r="AS45" s="77"/>
      <c r="AX45" s="77"/>
    </row>
    <row r="46" spans="2:50" ht="24" thickBot="1">
      <c r="B46" s="76" t="s">
        <v>12</v>
      </c>
      <c r="C46" s="103">
        <f>EOMONTH(C45,0)</f>
        <v>44043</v>
      </c>
      <c r="D46" s="217" t="s">
        <v>19</v>
      </c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O46" s="77"/>
      <c r="AP46" s="77"/>
      <c r="AR46" s="77"/>
      <c r="AS46" s="77"/>
      <c r="AX46" s="77"/>
    </row>
    <row r="47" spans="2:50">
      <c r="D47" s="104">
        <f>IFERROR(DAY(D45),"")</f>
        <v>1</v>
      </c>
      <c r="E47" s="105">
        <f t="shared" ref="E47:AH47" si="40">IFERROR(DAY(E45),"")</f>
        <v>2</v>
      </c>
      <c r="F47" s="105">
        <f t="shared" si="40"/>
        <v>3</v>
      </c>
      <c r="G47" s="105">
        <f t="shared" si="40"/>
        <v>4</v>
      </c>
      <c r="H47" s="105">
        <f t="shared" si="40"/>
        <v>5</v>
      </c>
      <c r="I47" s="105">
        <f t="shared" si="40"/>
        <v>6</v>
      </c>
      <c r="J47" s="105">
        <f t="shared" si="40"/>
        <v>7</v>
      </c>
      <c r="K47" s="105">
        <f t="shared" si="40"/>
        <v>8</v>
      </c>
      <c r="L47" s="105">
        <f t="shared" si="40"/>
        <v>9</v>
      </c>
      <c r="M47" s="105">
        <f t="shared" si="40"/>
        <v>10</v>
      </c>
      <c r="N47" s="105">
        <f t="shared" si="40"/>
        <v>11</v>
      </c>
      <c r="O47" s="105">
        <f t="shared" si="40"/>
        <v>12</v>
      </c>
      <c r="P47" s="105">
        <f t="shared" si="40"/>
        <v>13</v>
      </c>
      <c r="Q47" s="105">
        <f t="shared" si="40"/>
        <v>14</v>
      </c>
      <c r="R47" s="105">
        <f t="shared" si="40"/>
        <v>15</v>
      </c>
      <c r="S47" s="105">
        <f t="shared" si="40"/>
        <v>16</v>
      </c>
      <c r="T47" s="105">
        <f t="shared" si="40"/>
        <v>17</v>
      </c>
      <c r="U47" s="105">
        <f t="shared" si="40"/>
        <v>18</v>
      </c>
      <c r="V47" s="105">
        <f t="shared" si="40"/>
        <v>19</v>
      </c>
      <c r="W47" s="105">
        <f t="shared" si="40"/>
        <v>20</v>
      </c>
      <c r="X47" s="105">
        <f t="shared" si="40"/>
        <v>21</v>
      </c>
      <c r="Y47" s="105">
        <f t="shared" si="40"/>
        <v>22</v>
      </c>
      <c r="Z47" s="105">
        <f t="shared" si="40"/>
        <v>23</v>
      </c>
      <c r="AA47" s="105">
        <f t="shared" si="40"/>
        <v>24</v>
      </c>
      <c r="AB47" s="105">
        <f t="shared" si="40"/>
        <v>25</v>
      </c>
      <c r="AC47" s="105">
        <f t="shared" si="40"/>
        <v>26</v>
      </c>
      <c r="AD47" s="105">
        <f t="shared" si="40"/>
        <v>27</v>
      </c>
      <c r="AE47" s="105">
        <f t="shared" si="40"/>
        <v>28</v>
      </c>
      <c r="AF47" s="105">
        <f t="shared" si="40"/>
        <v>29</v>
      </c>
      <c r="AG47" s="105">
        <f t="shared" si="40"/>
        <v>30</v>
      </c>
      <c r="AH47" s="106">
        <f t="shared" si="40"/>
        <v>31</v>
      </c>
      <c r="AO47" s="77"/>
      <c r="AP47" s="77"/>
      <c r="AR47" s="77"/>
      <c r="AS47" s="77"/>
      <c r="AX47" s="77"/>
    </row>
    <row r="48" spans="2:50">
      <c r="D48" s="107">
        <f>IFERROR(WEEKDAY(D45,1),"")</f>
        <v>4</v>
      </c>
      <c r="E48" s="108">
        <f t="shared" ref="E48:AH48" si="41">IFERROR(WEEKDAY(E45,1),"")</f>
        <v>5</v>
      </c>
      <c r="F48" s="108">
        <f t="shared" si="41"/>
        <v>6</v>
      </c>
      <c r="G48" s="108">
        <f t="shared" si="41"/>
        <v>7</v>
      </c>
      <c r="H48" s="108">
        <f t="shared" si="41"/>
        <v>1</v>
      </c>
      <c r="I48" s="108">
        <f t="shared" si="41"/>
        <v>2</v>
      </c>
      <c r="J48" s="108">
        <f t="shared" si="41"/>
        <v>3</v>
      </c>
      <c r="K48" s="108">
        <f t="shared" si="41"/>
        <v>4</v>
      </c>
      <c r="L48" s="108">
        <f t="shared" si="41"/>
        <v>5</v>
      </c>
      <c r="M48" s="108">
        <f t="shared" si="41"/>
        <v>6</v>
      </c>
      <c r="N48" s="108">
        <f t="shared" si="41"/>
        <v>7</v>
      </c>
      <c r="O48" s="108">
        <f t="shared" si="41"/>
        <v>1</v>
      </c>
      <c r="P48" s="108">
        <f t="shared" si="41"/>
        <v>2</v>
      </c>
      <c r="Q48" s="108">
        <f t="shared" si="41"/>
        <v>3</v>
      </c>
      <c r="R48" s="108">
        <f t="shared" si="41"/>
        <v>4</v>
      </c>
      <c r="S48" s="108">
        <f t="shared" si="41"/>
        <v>5</v>
      </c>
      <c r="T48" s="108">
        <f t="shared" si="41"/>
        <v>6</v>
      </c>
      <c r="U48" s="108">
        <f t="shared" si="41"/>
        <v>7</v>
      </c>
      <c r="V48" s="108">
        <f t="shared" si="41"/>
        <v>1</v>
      </c>
      <c r="W48" s="108">
        <f t="shared" si="41"/>
        <v>2</v>
      </c>
      <c r="X48" s="108">
        <f t="shared" si="41"/>
        <v>3</v>
      </c>
      <c r="Y48" s="108">
        <f t="shared" si="41"/>
        <v>4</v>
      </c>
      <c r="Z48" s="108">
        <f t="shared" si="41"/>
        <v>5</v>
      </c>
      <c r="AA48" s="108">
        <f t="shared" si="41"/>
        <v>6</v>
      </c>
      <c r="AB48" s="108">
        <f t="shared" si="41"/>
        <v>7</v>
      </c>
      <c r="AC48" s="108">
        <f t="shared" si="41"/>
        <v>1</v>
      </c>
      <c r="AD48" s="108">
        <f t="shared" si="41"/>
        <v>2</v>
      </c>
      <c r="AE48" s="108">
        <f t="shared" si="41"/>
        <v>3</v>
      </c>
      <c r="AF48" s="108">
        <f t="shared" si="41"/>
        <v>4</v>
      </c>
      <c r="AG48" s="108">
        <f t="shared" si="41"/>
        <v>5</v>
      </c>
      <c r="AH48" s="109">
        <f t="shared" si="41"/>
        <v>6</v>
      </c>
      <c r="AI48" s="150" t="s">
        <v>30</v>
      </c>
      <c r="AJ48" s="125" t="s">
        <v>90</v>
      </c>
      <c r="AK48" s="126" t="s">
        <v>91</v>
      </c>
      <c r="AL48" s="110" t="s">
        <v>92</v>
      </c>
      <c r="AM48" s="127" t="s">
        <v>93</v>
      </c>
      <c r="AN48" s="142" t="s">
        <v>102</v>
      </c>
      <c r="AO48" s="114" t="s">
        <v>33</v>
      </c>
      <c r="AP48" s="115" t="s">
        <v>28</v>
      </c>
      <c r="AQ48" s="116" t="s">
        <v>32</v>
      </c>
      <c r="AR48" s="128" t="s">
        <v>94</v>
      </c>
      <c r="AS48" s="118" t="s">
        <v>0</v>
      </c>
      <c r="AT48" s="119" t="s">
        <v>1</v>
      </c>
      <c r="AU48" s="145" t="s">
        <v>114</v>
      </c>
      <c r="AV48" s="120" t="s">
        <v>35</v>
      </c>
      <c r="AW48" s="146" t="s">
        <v>116</v>
      </c>
      <c r="AX48" s="121" t="s">
        <v>71</v>
      </c>
    </row>
    <row r="49" spans="2:50" ht="15.75" thickBot="1">
      <c r="D49" s="122" t="str">
        <f t="array" ref="D49">IF(OR(D48=1),"",IFERROR(INDEX(Tableau1[],MATCH(1,(PLANNING!D45&gt;=Tableau1[Date début])*(Tableau1[Date de fin]&gt;=PLANNING!D45)*(Tableau1[Nom]=PLANNING!$S$2),0),5),""))</f>
        <v/>
      </c>
      <c r="E49" s="123" t="str">
        <f t="array" ref="E49">IF(OR(E48=1),"",IFERROR(INDEX(Tableau1[],MATCH(1,(PLANNING!E45&gt;=Tableau1[Date début])*(Tableau1[Date de fin]&gt;=PLANNING!E45)*(Tableau1[Nom]=PLANNING!$S$2),0),5),""))</f>
        <v/>
      </c>
      <c r="F49" s="123" t="str">
        <f t="array" ref="F49">IF(OR(F48=1),"",IFERROR(INDEX(Tableau1[],MATCH(1,(PLANNING!F45&gt;=Tableau1[Date début])*(Tableau1[Date de fin]&gt;=PLANNING!F45)*(Tableau1[Nom]=PLANNING!$S$2),0),5),""))</f>
        <v/>
      </c>
      <c r="G49" s="123" t="str">
        <f t="array" ref="G49">IF(OR(G48=1),"",IFERROR(INDEX(Tableau1[],MATCH(1,(PLANNING!G45&gt;=Tableau1[Date début])*(Tableau1[Date de fin]&gt;=PLANNING!G45)*(Tableau1[Nom]=PLANNING!$S$2),0),5),""))</f>
        <v/>
      </c>
      <c r="H49" s="123" t="str">
        <f t="array" ref="H49">IF(OR(H48=1),"",IFERROR(INDEX(Tableau1[],MATCH(1,(PLANNING!H45&gt;=Tableau1[Date début])*(Tableau1[Date de fin]&gt;=PLANNING!H45)*(Tableau1[Nom]=PLANNING!$S$2),0),5),""))</f>
        <v/>
      </c>
      <c r="I49" s="123" t="str">
        <f t="array" ref="I49">IF(OR(I48=1),"",IFERROR(INDEX(Tableau1[],MATCH(1,(PLANNING!I45&gt;=Tableau1[Date début])*(Tableau1[Date de fin]&gt;=PLANNING!I45)*(Tableau1[Nom]=PLANNING!$S$2),0),5),""))</f>
        <v/>
      </c>
      <c r="J49" s="123" t="str">
        <f t="array" ref="J49">IF(OR(J48=1),"",IFERROR(INDEX(Tableau1[],MATCH(1,(PLANNING!J45&gt;=Tableau1[Date début])*(Tableau1[Date de fin]&gt;=PLANNING!J45)*(Tableau1[Nom]=PLANNING!$S$2),0),5),""))</f>
        <v/>
      </c>
      <c r="K49" s="123" t="str">
        <f t="array" ref="K49">IF(OR(K48=1),"",IFERROR(INDEX(Tableau1[],MATCH(1,(PLANNING!K45&gt;=Tableau1[Date début])*(Tableau1[Date de fin]&gt;=PLANNING!K45)*(Tableau1[Nom]=PLANNING!$S$2),0),5),""))</f>
        <v/>
      </c>
      <c r="L49" s="123" t="str">
        <f t="array" ref="L49">IF(OR(L48=1),"",IFERROR(INDEX(Tableau1[],MATCH(1,(PLANNING!L45&gt;=Tableau1[Date début])*(Tableau1[Date de fin]&gt;=PLANNING!L45)*(Tableau1[Nom]=PLANNING!$S$2),0),5),""))</f>
        <v/>
      </c>
      <c r="M49" s="123" t="str">
        <f t="array" ref="M49">IF(OR(M48=1),"",IFERROR(INDEX(Tableau1[],MATCH(1,(PLANNING!M45&gt;=Tableau1[Date début])*(Tableau1[Date de fin]&gt;=PLANNING!M45)*(Tableau1[Nom]=PLANNING!$S$2),0),5),""))</f>
        <v/>
      </c>
      <c r="N49" s="123" t="str">
        <f t="array" ref="N49">IF(OR(N48=1),"",IFERROR(INDEX(Tableau1[],MATCH(1,(PLANNING!N45&gt;=Tableau1[Date début])*(Tableau1[Date de fin]&gt;=PLANNING!N45)*(Tableau1[Nom]=PLANNING!$S$2),0),5),""))</f>
        <v/>
      </c>
      <c r="O49" s="123" t="str">
        <f t="array" ref="O49">IF(OR(O48=1),"",IFERROR(INDEX(Tableau1[],MATCH(1,(PLANNING!O45&gt;=Tableau1[Date début])*(Tableau1[Date de fin]&gt;=PLANNING!O45)*(Tableau1[Nom]=PLANNING!$S$2),0),5),""))</f>
        <v/>
      </c>
      <c r="P49" s="123" t="str">
        <f t="array" ref="P49">IF(OR(P48=1),"",IFERROR(INDEX(Tableau1[],MATCH(1,(PLANNING!P45&gt;=Tableau1[Date début])*(Tableau1[Date de fin]&gt;=PLANNING!P45)*(Tableau1[Nom]=PLANNING!$S$2),0),5),""))</f>
        <v/>
      </c>
      <c r="Q49" s="123" t="str">
        <f t="array" ref="Q49">IF(OR(Q48=1),"",IFERROR(INDEX(Tableau1[],MATCH(1,(PLANNING!Q45&gt;=Tableau1[Date début])*(Tableau1[Date de fin]&gt;=PLANNING!Q45)*(Tableau1[Nom]=PLANNING!$S$2),0),5),""))</f>
        <v/>
      </c>
      <c r="R49" s="123" t="str">
        <f t="array" ref="R49">IF(OR(R48=1),"",IFERROR(INDEX(Tableau1[],MATCH(1,(PLANNING!R45&gt;=Tableau1[Date début])*(Tableau1[Date de fin]&gt;=PLANNING!R45)*(Tableau1[Nom]=PLANNING!$S$2),0),5),""))</f>
        <v/>
      </c>
      <c r="S49" s="123" t="str">
        <f t="array" ref="S49">IF(OR(S48=1),"",IFERROR(INDEX(Tableau1[],MATCH(1,(PLANNING!S45&gt;=Tableau1[Date début])*(Tableau1[Date de fin]&gt;=PLANNING!S45)*(Tableau1[Nom]=PLANNING!$S$2),0),5),""))</f>
        <v/>
      </c>
      <c r="T49" s="123" t="str">
        <f t="array" ref="T49">IF(OR(T48=1),"",IFERROR(INDEX(Tableau1[],MATCH(1,(PLANNING!T45&gt;=Tableau1[Date début])*(Tableau1[Date de fin]&gt;=PLANNING!T45)*(Tableau1[Nom]=PLANNING!$S$2),0),5),""))</f>
        <v/>
      </c>
      <c r="U49" s="123" t="str">
        <f t="array" ref="U49">IF(OR(U48=1),"",IFERROR(INDEX(Tableau1[],MATCH(1,(PLANNING!U45&gt;=Tableau1[Date début])*(Tableau1[Date de fin]&gt;=PLANNING!U45)*(Tableau1[Nom]=PLANNING!$S$2),0),5),""))</f>
        <v/>
      </c>
      <c r="V49" s="123" t="str">
        <f t="array" ref="V49">IF(OR(V48=1),"",IFERROR(INDEX(Tableau1[],MATCH(1,(PLANNING!V45&gt;=Tableau1[Date début])*(Tableau1[Date de fin]&gt;=PLANNING!V45)*(Tableau1[Nom]=PLANNING!$S$2),0),5),""))</f>
        <v/>
      </c>
      <c r="W49" s="123" t="str">
        <f t="array" ref="W49">IF(OR(W48=1),"",IFERROR(INDEX(Tableau1[],MATCH(1,(PLANNING!W45&gt;=Tableau1[Date début])*(Tableau1[Date de fin]&gt;=PLANNING!W45)*(Tableau1[Nom]=PLANNING!$S$2),0),5),""))</f>
        <v/>
      </c>
      <c r="X49" s="123" t="str">
        <f t="array" ref="X49">IF(OR(X48=1),"",IFERROR(INDEX(Tableau1[],MATCH(1,(PLANNING!X45&gt;=Tableau1[Date début])*(Tableau1[Date de fin]&gt;=PLANNING!X45)*(Tableau1[Nom]=PLANNING!$S$2),0),5),""))</f>
        <v/>
      </c>
      <c r="Y49" s="123" t="str">
        <f t="array" ref="Y49">IF(OR(Y48=1),"",IFERROR(INDEX(Tableau1[],MATCH(1,(PLANNING!Y45&gt;=Tableau1[Date début])*(Tableau1[Date de fin]&gt;=PLANNING!Y45)*(Tableau1[Nom]=PLANNING!$S$2),0),5),""))</f>
        <v/>
      </c>
      <c r="Z49" s="123" t="str">
        <f t="array" ref="Z49">IF(OR(Z48=1),"",IFERROR(INDEX(Tableau1[],MATCH(1,(PLANNING!Z45&gt;=Tableau1[Date début])*(Tableau1[Date de fin]&gt;=PLANNING!Z45)*(Tableau1[Nom]=PLANNING!$S$2),0),5),""))</f>
        <v/>
      </c>
      <c r="AA49" s="123" t="str">
        <f t="array" ref="AA49">IF(OR(AA48=1),"",IFERROR(INDEX(Tableau1[],MATCH(1,(PLANNING!AA45&gt;=Tableau1[Date début])*(Tableau1[Date de fin]&gt;=PLANNING!AA45)*(Tableau1[Nom]=PLANNING!$S$2),0),5),""))</f>
        <v/>
      </c>
      <c r="AB49" s="123" t="str">
        <f t="array" ref="AB49">IF(OR(AB48=1),"",IFERROR(INDEX(Tableau1[],MATCH(1,(PLANNING!AB45&gt;=Tableau1[Date début])*(Tableau1[Date de fin]&gt;=PLANNING!AB45)*(Tableau1[Nom]=PLANNING!$S$2),0),5),""))</f>
        <v/>
      </c>
      <c r="AC49" s="123" t="str">
        <f t="array" ref="AC49">IF(OR(AC48=1),"",IFERROR(INDEX(Tableau1[],MATCH(1,(PLANNING!AC45&gt;=Tableau1[Date début])*(Tableau1[Date de fin]&gt;=PLANNING!AC45)*(Tableau1[Nom]=PLANNING!$S$2),0),5),""))</f>
        <v/>
      </c>
      <c r="AD49" s="123" t="str">
        <f t="array" ref="AD49">IF(OR(AD48=1),"",IFERROR(INDEX(Tableau1[],MATCH(1,(PLANNING!AD45&gt;=Tableau1[Date début])*(Tableau1[Date de fin]&gt;=PLANNING!AD45)*(Tableau1[Nom]=PLANNING!$S$2),0),5),""))</f>
        <v/>
      </c>
      <c r="AE49" s="123" t="str">
        <f t="array" ref="AE49">IF(OR(AE48=1),"",IFERROR(INDEX(Tableau1[],MATCH(1,(PLANNING!AE45&gt;=Tableau1[Date début])*(Tableau1[Date de fin]&gt;=PLANNING!AE45)*(Tableau1[Nom]=PLANNING!$S$2),0),5),""))</f>
        <v/>
      </c>
      <c r="AF49" s="123" t="str">
        <f t="array" ref="AF49">IF(OR(AF48=1),"",IFERROR(INDEX(Tableau1[],MATCH(1,(PLANNING!AF45&gt;=Tableau1[Date début])*(Tableau1[Date de fin]&gt;=PLANNING!AF45)*(Tableau1[Nom]=PLANNING!$S$2),0),5),""))</f>
        <v/>
      </c>
      <c r="AG49" s="123" t="str">
        <f t="array" ref="AG49">IF(OR(AG48=1),"",IFERROR(INDEX(Tableau1[],MATCH(1,(PLANNING!AG45&gt;=Tableau1[Date début])*(Tableau1[Date de fin]&gt;=PLANNING!AG45)*(Tableau1[Nom]=PLANNING!$S$2),0),5),""))</f>
        <v/>
      </c>
      <c r="AH49" s="124" t="str">
        <f t="array" ref="AH49">IF(OR(AH48=1),"",IFERROR(INDEX(Tableau1[],MATCH(1,(PLANNING!AH45&gt;=Tableau1[Date début])*(Tableau1[Date de fin]&gt;=PLANNING!AH45)*(Tableau1[Nom]=PLANNING!$S$2),0),5),""))</f>
        <v/>
      </c>
      <c r="AI49" s="77">
        <f>COUNTIF($D$49:$AH$49,AI48)</f>
        <v>0</v>
      </c>
      <c r="AJ49" s="77">
        <f t="shared" ref="AJ49:AR49" si="42">COUNTIF($D$49:$AH$49,AJ48)</f>
        <v>0</v>
      </c>
      <c r="AK49" s="77">
        <f t="shared" si="42"/>
        <v>0</v>
      </c>
      <c r="AL49" s="77">
        <f t="shared" si="42"/>
        <v>0</v>
      </c>
      <c r="AM49" s="77">
        <f>COUNTIF($D$49:$AH$49,AM48)</f>
        <v>0</v>
      </c>
      <c r="AN49" s="77">
        <f>COUNTIF($D$49:$AH$49,AN48)</f>
        <v>0</v>
      </c>
      <c r="AO49" s="77">
        <f t="shared" si="42"/>
        <v>0</v>
      </c>
      <c r="AP49" s="77">
        <f t="shared" si="42"/>
        <v>0</v>
      </c>
      <c r="AQ49" s="77">
        <f t="shared" si="42"/>
        <v>0</v>
      </c>
      <c r="AR49" s="77">
        <f t="shared" si="42"/>
        <v>0</v>
      </c>
      <c r="AS49" s="77">
        <f t="shared" ref="AS49:AV49" si="43">COUNTIF($D$49:$AH$49,AS48)</f>
        <v>0</v>
      </c>
      <c r="AT49" s="77">
        <f>COUNTIF($D$49:$AH$49,AT48)</f>
        <v>0</v>
      </c>
      <c r="AU49" s="77">
        <f>COUNTIF($D$49:$AH$49,AU48)</f>
        <v>0</v>
      </c>
      <c r="AV49" s="77">
        <f t="shared" si="43"/>
        <v>0</v>
      </c>
      <c r="AW49" s="77">
        <f>COUNTIF($D$49:$AH$49,AW48)</f>
        <v>0</v>
      </c>
      <c r="AX49" s="77">
        <f>CALENDRIER!AC25</f>
        <v>1</v>
      </c>
    </row>
    <row r="50" spans="2:50" ht="57" hidden="1" customHeight="1" thickBot="1">
      <c r="B50" s="76" t="s">
        <v>11</v>
      </c>
      <c r="C50" s="101">
        <f>DATE($D$2,MONTH(1&amp;"/"&amp;D51),1)</f>
        <v>44044</v>
      </c>
      <c r="D50" s="102">
        <f>C50</f>
        <v>44044</v>
      </c>
      <c r="E50" s="102">
        <f>IFERROR(IF(D50+1&gt;$C$51,"",D50+1),"")</f>
        <v>44045</v>
      </c>
      <c r="F50" s="102">
        <f t="shared" ref="F50:AH50" si="44">IFERROR(IF(E50+1&gt;$C$51,"",E50+1),"")</f>
        <v>44046</v>
      </c>
      <c r="G50" s="102">
        <f t="shared" si="44"/>
        <v>44047</v>
      </c>
      <c r="H50" s="102">
        <f t="shared" si="44"/>
        <v>44048</v>
      </c>
      <c r="I50" s="102">
        <f t="shared" si="44"/>
        <v>44049</v>
      </c>
      <c r="J50" s="102">
        <f t="shared" si="44"/>
        <v>44050</v>
      </c>
      <c r="K50" s="102">
        <f t="shared" si="44"/>
        <v>44051</v>
      </c>
      <c r="L50" s="102">
        <f t="shared" si="44"/>
        <v>44052</v>
      </c>
      <c r="M50" s="102">
        <f t="shared" si="44"/>
        <v>44053</v>
      </c>
      <c r="N50" s="102">
        <f t="shared" si="44"/>
        <v>44054</v>
      </c>
      <c r="O50" s="102">
        <f t="shared" si="44"/>
        <v>44055</v>
      </c>
      <c r="P50" s="102">
        <f t="shared" si="44"/>
        <v>44056</v>
      </c>
      <c r="Q50" s="102">
        <f t="shared" si="44"/>
        <v>44057</v>
      </c>
      <c r="R50" s="102">
        <f t="shared" si="44"/>
        <v>44058</v>
      </c>
      <c r="S50" s="102">
        <f t="shared" si="44"/>
        <v>44059</v>
      </c>
      <c r="T50" s="102">
        <f t="shared" si="44"/>
        <v>44060</v>
      </c>
      <c r="U50" s="102">
        <f t="shared" si="44"/>
        <v>44061</v>
      </c>
      <c r="V50" s="102">
        <f t="shared" si="44"/>
        <v>44062</v>
      </c>
      <c r="W50" s="102">
        <f t="shared" si="44"/>
        <v>44063</v>
      </c>
      <c r="X50" s="102">
        <f t="shared" si="44"/>
        <v>44064</v>
      </c>
      <c r="Y50" s="102">
        <f t="shared" si="44"/>
        <v>44065</v>
      </c>
      <c r="Z50" s="102">
        <f t="shared" si="44"/>
        <v>44066</v>
      </c>
      <c r="AA50" s="102">
        <f t="shared" si="44"/>
        <v>44067</v>
      </c>
      <c r="AB50" s="102">
        <f t="shared" si="44"/>
        <v>44068</v>
      </c>
      <c r="AC50" s="102">
        <f t="shared" si="44"/>
        <v>44069</v>
      </c>
      <c r="AD50" s="102">
        <f t="shared" si="44"/>
        <v>44070</v>
      </c>
      <c r="AE50" s="102">
        <f t="shared" si="44"/>
        <v>44071</v>
      </c>
      <c r="AF50" s="102">
        <f t="shared" si="44"/>
        <v>44072</v>
      </c>
      <c r="AG50" s="102">
        <f t="shared" si="44"/>
        <v>44073</v>
      </c>
      <c r="AH50" s="102">
        <f t="shared" si="44"/>
        <v>44074</v>
      </c>
      <c r="AI50" s="102" t="str">
        <f t="shared" ref="AI50" si="45">IFERROR(IF(AH50+1&gt;$C$16,"",AH50+1),"")</f>
        <v/>
      </c>
      <c r="AJ50" s="102"/>
      <c r="AK50" s="102"/>
      <c r="AL50" s="102"/>
      <c r="AM50" s="102"/>
      <c r="AN50" s="102"/>
      <c r="AO50" s="102"/>
      <c r="AP50" s="77"/>
      <c r="AR50" s="77"/>
      <c r="AS50" s="77"/>
      <c r="AX50" s="77"/>
    </row>
    <row r="51" spans="2:50" ht="24" thickBot="1">
      <c r="B51" s="76" t="s">
        <v>12</v>
      </c>
      <c r="C51" s="103">
        <f>EOMONTH(C50,0)</f>
        <v>44074</v>
      </c>
      <c r="D51" s="217" t="s">
        <v>20</v>
      </c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9"/>
      <c r="AO51" s="77"/>
      <c r="AP51" s="77"/>
      <c r="AR51" s="77"/>
      <c r="AS51" s="77"/>
      <c r="AX51" s="77"/>
    </row>
    <row r="52" spans="2:50">
      <c r="D52" s="104">
        <f>IFERROR(DAY(D50),"")</f>
        <v>1</v>
      </c>
      <c r="E52" s="105">
        <f t="shared" ref="E52:AH52" si="46">IFERROR(DAY(E50),"")</f>
        <v>2</v>
      </c>
      <c r="F52" s="105">
        <f t="shared" si="46"/>
        <v>3</v>
      </c>
      <c r="G52" s="105">
        <f t="shared" si="46"/>
        <v>4</v>
      </c>
      <c r="H52" s="105">
        <f t="shared" si="46"/>
        <v>5</v>
      </c>
      <c r="I52" s="105">
        <f t="shared" si="46"/>
        <v>6</v>
      </c>
      <c r="J52" s="105">
        <f t="shared" si="46"/>
        <v>7</v>
      </c>
      <c r="K52" s="105">
        <f t="shared" si="46"/>
        <v>8</v>
      </c>
      <c r="L52" s="105">
        <f t="shared" si="46"/>
        <v>9</v>
      </c>
      <c r="M52" s="105">
        <f t="shared" si="46"/>
        <v>10</v>
      </c>
      <c r="N52" s="105">
        <f t="shared" si="46"/>
        <v>11</v>
      </c>
      <c r="O52" s="105">
        <f t="shared" si="46"/>
        <v>12</v>
      </c>
      <c r="P52" s="105">
        <f t="shared" si="46"/>
        <v>13</v>
      </c>
      <c r="Q52" s="105">
        <f t="shared" si="46"/>
        <v>14</v>
      </c>
      <c r="R52" s="105">
        <f t="shared" si="46"/>
        <v>15</v>
      </c>
      <c r="S52" s="105">
        <f t="shared" si="46"/>
        <v>16</v>
      </c>
      <c r="T52" s="105">
        <f t="shared" si="46"/>
        <v>17</v>
      </c>
      <c r="U52" s="105">
        <f t="shared" si="46"/>
        <v>18</v>
      </c>
      <c r="V52" s="105">
        <f t="shared" si="46"/>
        <v>19</v>
      </c>
      <c r="W52" s="105">
        <f t="shared" si="46"/>
        <v>20</v>
      </c>
      <c r="X52" s="105">
        <f t="shared" si="46"/>
        <v>21</v>
      </c>
      <c r="Y52" s="105">
        <f t="shared" si="46"/>
        <v>22</v>
      </c>
      <c r="Z52" s="105">
        <f t="shared" si="46"/>
        <v>23</v>
      </c>
      <c r="AA52" s="105">
        <f t="shared" si="46"/>
        <v>24</v>
      </c>
      <c r="AB52" s="105">
        <f t="shared" si="46"/>
        <v>25</v>
      </c>
      <c r="AC52" s="105">
        <f t="shared" si="46"/>
        <v>26</v>
      </c>
      <c r="AD52" s="105">
        <f t="shared" si="46"/>
        <v>27</v>
      </c>
      <c r="AE52" s="105">
        <f t="shared" si="46"/>
        <v>28</v>
      </c>
      <c r="AF52" s="105">
        <f t="shared" si="46"/>
        <v>29</v>
      </c>
      <c r="AG52" s="105">
        <f t="shared" si="46"/>
        <v>30</v>
      </c>
      <c r="AH52" s="106">
        <f t="shared" si="46"/>
        <v>31</v>
      </c>
      <c r="AO52" s="77"/>
      <c r="AP52" s="77"/>
      <c r="AR52" s="77"/>
      <c r="AS52" s="77"/>
      <c r="AX52" s="77"/>
    </row>
    <row r="53" spans="2:50">
      <c r="D53" s="107">
        <f>IFERROR(WEEKDAY(D50,1),"")</f>
        <v>7</v>
      </c>
      <c r="E53" s="108">
        <f t="shared" ref="E53:AH53" si="47">IFERROR(WEEKDAY(E50,1),"")</f>
        <v>1</v>
      </c>
      <c r="F53" s="108">
        <f t="shared" si="47"/>
        <v>2</v>
      </c>
      <c r="G53" s="108">
        <f t="shared" si="47"/>
        <v>3</v>
      </c>
      <c r="H53" s="108">
        <f t="shared" si="47"/>
        <v>4</v>
      </c>
      <c r="I53" s="108">
        <f t="shared" si="47"/>
        <v>5</v>
      </c>
      <c r="J53" s="108">
        <f t="shared" si="47"/>
        <v>6</v>
      </c>
      <c r="K53" s="108">
        <f t="shared" si="47"/>
        <v>7</v>
      </c>
      <c r="L53" s="108">
        <f t="shared" si="47"/>
        <v>1</v>
      </c>
      <c r="M53" s="108">
        <f t="shared" si="47"/>
        <v>2</v>
      </c>
      <c r="N53" s="108">
        <f t="shared" si="47"/>
        <v>3</v>
      </c>
      <c r="O53" s="108">
        <f t="shared" si="47"/>
        <v>4</v>
      </c>
      <c r="P53" s="108">
        <f t="shared" si="47"/>
        <v>5</v>
      </c>
      <c r="Q53" s="108">
        <f t="shared" si="47"/>
        <v>6</v>
      </c>
      <c r="R53" s="108">
        <f t="shared" si="47"/>
        <v>7</v>
      </c>
      <c r="S53" s="108">
        <f t="shared" si="47"/>
        <v>1</v>
      </c>
      <c r="T53" s="108">
        <f t="shared" si="47"/>
        <v>2</v>
      </c>
      <c r="U53" s="108">
        <f t="shared" si="47"/>
        <v>3</v>
      </c>
      <c r="V53" s="108">
        <f t="shared" si="47"/>
        <v>4</v>
      </c>
      <c r="W53" s="108">
        <f t="shared" si="47"/>
        <v>5</v>
      </c>
      <c r="X53" s="108">
        <f t="shared" si="47"/>
        <v>6</v>
      </c>
      <c r="Y53" s="108">
        <f t="shared" si="47"/>
        <v>7</v>
      </c>
      <c r="Z53" s="108">
        <f t="shared" si="47"/>
        <v>1</v>
      </c>
      <c r="AA53" s="108">
        <f t="shared" si="47"/>
        <v>2</v>
      </c>
      <c r="AB53" s="108">
        <f t="shared" si="47"/>
        <v>3</v>
      </c>
      <c r="AC53" s="108">
        <f t="shared" si="47"/>
        <v>4</v>
      </c>
      <c r="AD53" s="108">
        <f t="shared" si="47"/>
        <v>5</v>
      </c>
      <c r="AE53" s="108">
        <f t="shared" si="47"/>
        <v>6</v>
      </c>
      <c r="AF53" s="108">
        <f t="shared" si="47"/>
        <v>7</v>
      </c>
      <c r="AG53" s="108">
        <f t="shared" si="47"/>
        <v>1</v>
      </c>
      <c r="AH53" s="109">
        <f t="shared" si="47"/>
        <v>2</v>
      </c>
      <c r="AI53" s="150" t="s">
        <v>30</v>
      </c>
      <c r="AJ53" s="125" t="s">
        <v>90</v>
      </c>
      <c r="AK53" s="126" t="s">
        <v>91</v>
      </c>
      <c r="AL53" s="110" t="s">
        <v>92</v>
      </c>
      <c r="AM53" s="127" t="s">
        <v>93</v>
      </c>
      <c r="AN53" s="142" t="s">
        <v>102</v>
      </c>
      <c r="AO53" s="114" t="s">
        <v>33</v>
      </c>
      <c r="AP53" s="115" t="s">
        <v>28</v>
      </c>
      <c r="AQ53" s="116" t="s">
        <v>32</v>
      </c>
      <c r="AR53" s="128" t="s">
        <v>94</v>
      </c>
      <c r="AS53" s="118" t="s">
        <v>0</v>
      </c>
      <c r="AT53" s="119" t="s">
        <v>1</v>
      </c>
      <c r="AU53" s="145" t="s">
        <v>114</v>
      </c>
      <c r="AV53" s="120" t="s">
        <v>35</v>
      </c>
      <c r="AW53" s="146" t="s">
        <v>116</v>
      </c>
      <c r="AX53" s="121" t="s">
        <v>71</v>
      </c>
    </row>
    <row r="54" spans="2:50" ht="15.75" thickBot="1">
      <c r="D54" s="122" t="str">
        <f t="array" ref="D54">IF(OR(D53=1),"",IFERROR(INDEX(Tableau1[],MATCH(1,(PLANNING!D50&gt;=Tableau1[Date début])*(Tableau1[Date de fin]&gt;=PLANNING!D50)*(Tableau1[Nom]=PLANNING!$S$2),0),5),""))</f>
        <v/>
      </c>
      <c r="E54" s="123" t="str">
        <f t="array" ref="E54">IF(OR(E53=1),"",IFERROR(INDEX(Tableau1[],MATCH(1,(PLANNING!E50&gt;=Tableau1[Date début])*(Tableau1[Date de fin]&gt;=PLANNING!E50)*(Tableau1[Nom]=PLANNING!$S$2),0),5),""))</f>
        <v/>
      </c>
      <c r="F54" s="123" t="str">
        <f t="array" ref="F54">IF(OR(F53=1),"",IFERROR(INDEX(Tableau1[],MATCH(1,(PLANNING!F50&gt;=Tableau1[Date début])*(Tableau1[Date de fin]&gt;=PLANNING!F50)*(Tableau1[Nom]=PLANNING!$S$2),0),5),""))</f>
        <v/>
      </c>
      <c r="G54" s="123" t="str">
        <f t="array" ref="G54">IF(OR(G53=1),"",IFERROR(INDEX(Tableau1[],MATCH(1,(PLANNING!G50&gt;=Tableau1[Date début])*(Tableau1[Date de fin]&gt;=PLANNING!G50)*(Tableau1[Nom]=PLANNING!$S$2),0),5),""))</f>
        <v/>
      </c>
      <c r="H54" s="123" t="str">
        <f t="array" ref="H54">IF(OR(H53=1),"",IFERROR(INDEX(Tableau1[],MATCH(1,(PLANNING!H50&gt;=Tableau1[Date début])*(Tableau1[Date de fin]&gt;=PLANNING!H50)*(Tableau1[Nom]=PLANNING!$S$2),0),5),""))</f>
        <v/>
      </c>
      <c r="I54" s="123" t="str">
        <f t="array" ref="I54">IF(OR(I53=1),"",IFERROR(INDEX(Tableau1[],MATCH(1,(PLANNING!I50&gt;=Tableau1[Date début])*(Tableau1[Date de fin]&gt;=PLANNING!I50)*(Tableau1[Nom]=PLANNING!$S$2),0),5),""))</f>
        <v/>
      </c>
      <c r="J54" s="123" t="str">
        <f t="array" ref="J54">IF(OR(J53=1),"",IFERROR(INDEX(Tableau1[],MATCH(1,(PLANNING!J50&gt;=Tableau1[Date début])*(Tableau1[Date de fin]&gt;=PLANNING!J50)*(Tableau1[Nom]=PLANNING!$S$2),0),5),""))</f>
        <v/>
      </c>
      <c r="K54" s="123" t="str">
        <f t="array" ref="K54">IF(OR(K53=1),"",IFERROR(INDEX(Tableau1[],MATCH(1,(PLANNING!K50&gt;=Tableau1[Date début])*(Tableau1[Date de fin]&gt;=PLANNING!K50)*(Tableau1[Nom]=PLANNING!$S$2),0),5),""))</f>
        <v/>
      </c>
      <c r="L54" s="123" t="str">
        <f t="array" ref="L54">IF(OR(L53=1),"",IFERROR(INDEX(Tableau1[],MATCH(1,(PLANNING!L50&gt;=Tableau1[Date début])*(Tableau1[Date de fin]&gt;=PLANNING!L50)*(Tableau1[Nom]=PLANNING!$S$2),0),5),""))</f>
        <v/>
      </c>
      <c r="M54" s="123" t="str">
        <f t="array" ref="M54">IF(OR(M53=1),"",IFERROR(INDEX(Tableau1[],MATCH(1,(PLANNING!M50&gt;=Tableau1[Date début])*(Tableau1[Date de fin]&gt;=PLANNING!M50)*(Tableau1[Nom]=PLANNING!$S$2),0),5),""))</f>
        <v/>
      </c>
      <c r="N54" s="123" t="str">
        <f t="array" ref="N54">IF(OR(N53=1),"",IFERROR(INDEX(Tableau1[],MATCH(1,(PLANNING!N50&gt;=Tableau1[Date début])*(Tableau1[Date de fin]&gt;=PLANNING!N50)*(Tableau1[Nom]=PLANNING!$S$2),0),5),""))</f>
        <v/>
      </c>
      <c r="O54" s="123" t="str">
        <f t="array" ref="O54">IF(OR(O53=1),"",IFERROR(INDEX(Tableau1[],MATCH(1,(PLANNING!O50&gt;=Tableau1[Date début])*(Tableau1[Date de fin]&gt;=PLANNING!O50)*(Tableau1[Nom]=PLANNING!$S$2),0),5),""))</f>
        <v/>
      </c>
      <c r="P54" s="123" t="str">
        <f t="array" ref="P54">IF(OR(P53=1),"",IFERROR(INDEX(Tableau1[],MATCH(1,(PLANNING!P50&gt;=Tableau1[Date début])*(Tableau1[Date de fin]&gt;=PLANNING!P50)*(Tableau1[Nom]=PLANNING!$S$2),0),5),""))</f>
        <v/>
      </c>
      <c r="Q54" s="123" t="str">
        <f t="array" ref="Q54">IF(OR(Q53=1),"",IFERROR(INDEX(Tableau1[],MATCH(1,(PLANNING!Q50&gt;=Tableau1[Date début])*(Tableau1[Date de fin]&gt;=PLANNING!Q50)*(Tableau1[Nom]=PLANNING!$S$2),0),5),""))</f>
        <v/>
      </c>
      <c r="R54" s="123" t="str">
        <f t="array" ref="R54">IF(OR(R53=1),"",IFERROR(INDEX(Tableau1[],MATCH(1,(PLANNING!R50&gt;=Tableau1[Date début])*(Tableau1[Date de fin]&gt;=PLANNING!R50)*(Tableau1[Nom]=PLANNING!$S$2),0),5),""))</f>
        <v/>
      </c>
      <c r="S54" s="123" t="str">
        <f t="array" ref="S54">IF(OR(S53=1),"",IFERROR(INDEX(Tableau1[],MATCH(1,(PLANNING!S50&gt;=Tableau1[Date début])*(Tableau1[Date de fin]&gt;=PLANNING!S50)*(Tableau1[Nom]=PLANNING!$S$2),0),5),""))</f>
        <v/>
      </c>
      <c r="T54" s="123" t="str">
        <f t="array" ref="T54">IF(OR(T53=1),"",IFERROR(INDEX(Tableau1[],MATCH(1,(PLANNING!T50&gt;=Tableau1[Date début])*(Tableau1[Date de fin]&gt;=PLANNING!T50)*(Tableau1[Nom]=PLANNING!$S$2),0),5),""))</f>
        <v/>
      </c>
      <c r="U54" s="123" t="str">
        <f t="array" ref="U54">IF(OR(U53=1),"",IFERROR(INDEX(Tableau1[],MATCH(1,(PLANNING!U50&gt;=Tableau1[Date début])*(Tableau1[Date de fin]&gt;=PLANNING!U50)*(Tableau1[Nom]=PLANNING!$S$2),0),5),""))</f>
        <v/>
      </c>
      <c r="V54" s="123" t="str">
        <f t="array" ref="V54">IF(OR(V53=1),"",IFERROR(INDEX(Tableau1[],MATCH(1,(PLANNING!V50&gt;=Tableau1[Date début])*(Tableau1[Date de fin]&gt;=PLANNING!V50)*(Tableau1[Nom]=PLANNING!$S$2),0),5),""))</f>
        <v/>
      </c>
      <c r="W54" s="123" t="str">
        <f t="array" ref="W54">IF(OR(W53=1),"",IFERROR(INDEX(Tableau1[],MATCH(1,(PLANNING!W50&gt;=Tableau1[Date début])*(Tableau1[Date de fin]&gt;=PLANNING!W50)*(Tableau1[Nom]=PLANNING!$S$2),0),5),""))</f>
        <v/>
      </c>
      <c r="X54" s="123" t="str">
        <f t="array" ref="X54">IF(OR(X53=1),"",IFERROR(INDEX(Tableau1[],MATCH(1,(PLANNING!X50&gt;=Tableau1[Date début])*(Tableau1[Date de fin]&gt;=PLANNING!X50)*(Tableau1[Nom]=PLANNING!$S$2),0),5),""))</f>
        <v/>
      </c>
      <c r="Y54" s="123" t="str">
        <f t="array" ref="Y54">IF(OR(Y53=1),"",IFERROR(INDEX(Tableau1[],MATCH(1,(PLANNING!Y50&gt;=Tableau1[Date début])*(Tableau1[Date de fin]&gt;=PLANNING!Y50)*(Tableau1[Nom]=PLANNING!$S$2),0),5),""))</f>
        <v/>
      </c>
      <c r="Z54" s="123" t="str">
        <f t="array" ref="Z54">IF(OR(Z53=1),"",IFERROR(INDEX(Tableau1[],MATCH(1,(PLANNING!Z50&gt;=Tableau1[Date début])*(Tableau1[Date de fin]&gt;=PLANNING!Z50)*(Tableau1[Nom]=PLANNING!$S$2),0),5),""))</f>
        <v/>
      </c>
      <c r="AA54" s="123" t="str">
        <f t="array" ref="AA54">IF(OR(AA53=1),"",IFERROR(INDEX(Tableau1[],MATCH(1,(PLANNING!AA50&gt;=Tableau1[Date début])*(Tableau1[Date de fin]&gt;=PLANNING!AA50)*(Tableau1[Nom]=PLANNING!$S$2),0),5),""))</f>
        <v/>
      </c>
      <c r="AB54" s="123" t="str">
        <f t="array" ref="AB54">IF(OR(AB53=1),"",IFERROR(INDEX(Tableau1[],MATCH(1,(PLANNING!AB50&gt;=Tableau1[Date début])*(Tableau1[Date de fin]&gt;=PLANNING!AB50)*(Tableau1[Nom]=PLANNING!$S$2),0),5),""))</f>
        <v/>
      </c>
      <c r="AC54" s="123" t="str">
        <f t="array" ref="AC54">IF(OR(AC53=1),"",IFERROR(INDEX(Tableau1[],MATCH(1,(PLANNING!AC50&gt;=Tableau1[Date début])*(Tableau1[Date de fin]&gt;=PLANNING!AC50)*(Tableau1[Nom]=PLANNING!$S$2),0),5),""))</f>
        <v/>
      </c>
      <c r="AD54" s="123" t="str">
        <f t="array" ref="AD54">IF(OR(AD53=1),"",IFERROR(INDEX(Tableau1[],MATCH(1,(PLANNING!AD50&gt;=Tableau1[Date début])*(Tableau1[Date de fin]&gt;=PLANNING!AD50)*(Tableau1[Nom]=PLANNING!$S$2),0),5),""))</f>
        <v/>
      </c>
      <c r="AE54" s="123" t="str">
        <f t="array" ref="AE54">IF(OR(AE53=1),"",IFERROR(INDEX(Tableau1[],MATCH(1,(PLANNING!AE50&gt;=Tableau1[Date début])*(Tableau1[Date de fin]&gt;=PLANNING!AE50)*(Tableau1[Nom]=PLANNING!$S$2),0),5),""))</f>
        <v/>
      </c>
      <c r="AF54" s="123" t="str">
        <f t="array" ref="AF54">IF(OR(AF53=1),"",IFERROR(INDEX(Tableau1[],MATCH(1,(PLANNING!AF50&gt;=Tableau1[Date début])*(Tableau1[Date de fin]&gt;=PLANNING!AF50)*(Tableau1[Nom]=PLANNING!$S$2),0),5),""))</f>
        <v/>
      </c>
      <c r="AG54" s="123" t="str">
        <f t="array" ref="AG54">IF(OR(AG53=1),"",IFERROR(INDEX(Tableau1[],MATCH(1,(PLANNING!AG50&gt;=Tableau1[Date début])*(Tableau1[Date de fin]&gt;=PLANNING!AG50)*(Tableau1[Nom]=PLANNING!$S$2),0),5),""))</f>
        <v/>
      </c>
      <c r="AH54" s="124" t="str">
        <f t="array" ref="AH54">IF(OR(AH53=1),"",IFERROR(INDEX(Tableau1[],MATCH(1,(PLANNING!AH50&gt;=Tableau1[Date début])*(Tableau1[Date de fin]&gt;=PLANNING!AH50)*(Tableau1[Nom]=PLANNING!$S$2),0),5),""))</f>
        <v/>
      </c>
      <c r="AI54" s="77">
        <f>COUNTIF($D$54:$AH$54,AI53)</f>
        <v>0</v>
      </c>
      <c r="AJ54" s="77">
        <f t="shared" ref="AJ54:AR54" si="48">COUNTIF($D$54:$AH$54,AJ53)</f>
        <v>0</v>
      </c>
      <c r="AK54" s="77">
        <f t="shared" si="48"/>
        <v>0</v>
      </c>
      <c r="AL54" s="77">
        <f t="shared" si="48"/>
        <v>0</v>
      </c>
      <c r="AM54" s="77">
        <f>COUNTIF($D$54:$AH$54,AM53)</f>
        <v>0</v>
      </c>
      <c r="AN54" s="77">
        <f>COUNTIF($D$54:$AH$54,AN53)</f>
        <v>0</v>
      </c>
      <c r="AO54" s="77">
        <f t="shared" si="48"/>
        <v>0</v>
      </c>
      <c r="AP54" s="77">
        <f t="shared" si="48"/>
        <v>0</v>
      </c>
      <c r="AQ54" s="77">
        <f t="shared" si="48"/>
        <v>0</v>
      </c>
      <c r="AR54" s="77">
        <f t="shared" si="48"/>
        <v>0</v>
      </c>
      <c r="AS54" s="77">
        <f t="shared" ref="AS54:AV54" si="49">COUNTIF($D$54:$AH$54,AS53)</f>
        <v>0</v>
      </c>
      <c r="AT54" s="77">
        <f>COUNTIF($D$54:$AH$54,AT53)</f>
        <v>0</v>
      </c>
      <c r="AU54" s="77">
        <f>COUNTIF($D$54:$AH$54,AU53)</f>
        <v>0</v>
      </c>
      <c r="AV54" s="77">
        <f t="shared" si="49"/>
        <v>0</v>
      </c>
      <c r="AW54" s="77">
        <f>COUNTIF($D$54:$AH$54,AW53)</f>
        <v>0</v>
      </c>
      <c r="AX54" s="77">
        <f>CALENDRIER!AC26</f>
        <v>1</v>
      </c>
    </row>
    <row r="55" spans="2:50" ht="57" hidden="1" customHeight="1" thickBot="1">
      <c r="B55" s="76" t="s">
        <v>11</v>
      </c>
      <c r="C55" s="101">
        <f>DATE($D$2,MONTH(1&amp;"/"&amp;D56),1)</f>
        <v>44075</v>
      </c>
      <c r="D55" s="102">
        <f>C55</f>
        <v>44075</v>
      </c>
      <c r="E55" s="102">
        <f>IFERROR(IF(D55+1&gt;$C$56,"",D55+1),"")</f>
        <v>44076</v>
      </c>
      <c r="F55" s="102">
        <f t="shared" ref="F55:AH55" si="50">IFERROR(IF(E55+1&gt;$C$56,"",E55+1),"")</f>
        <v>44077</v>
      </c>
      <c r="G55" s="102">
        <f t="shared" si="50"/>
        <v>44078</v>
      </c>
      <c r="H55" s="102">
        <f t="shared" si="50"/>
        <v>44079</v>
      </c>
      <c r="I55" s="102">
        <f t="shared" si="50"/>
        <v>44080</v>
      </c>
      <c r="J55" s="102">
        <f t="shared" si="50"/>
        <v>44081</v>
      </c>
      <c r="K55" s="102">
        <f t="shared" si="50"/>
        <v>44082</v>
      </c>
      <c r="L55" s="102">
        <f t="shared" si="50"/>
        <v>44083</v>
      </c>
      <c r="M55" s="102">
        <f t="shared" si="50"/>
        <v>44084</v>
      </c>
      <c r="N55" s="102">
        <f t="shared" si="50"/>
        <v>44085</v>
      </c>
      <c r="O55" s="102">
        <f t="shared" si="50"/>
        <v>44086</v>
      </c>
      <c r="P55" s="102">
        <f t="shared" si="50"/>
        <v>44087</v>
      </c>
      <c r="Q55" s="102">
        <f t="shared" si="50"/>
        <v>44088</v>
      </c>
      <c r="R55" s="102">
        <f t="shared" si="50"/>
        <v>44089</v>
      </c>
      <c r="S55" s="102">
        <f t="shared" si="50"/>
        <v>44090</v>
      </c>
      <c r="T55" s="102">
        <f t="shared" si="50"/>
        <v>44091</v>
      </c>
      <c r="U55" s="102">
        <f t="shared" si="50"/>
        <v>44092</v>
      </c>
      <c r="V55" s="102">
        <f t="shared" si="50"/>
        <v>44093</v>
      </c>
      <c r="W55" s="102">
        <f t="shared" si="50"/>
        <v>44094</v>
      </c>
      <c r="X55" s="102">
        <f t="shared" si="50"/>
        <v>44095</v>
      </c>
      <c r="Y55" s="102">
        <f t="shared" si="50"/>
        <v>44096</v>
      </c>
      <c r="Z55" s="102">
        <f t="shared" si="50"/>
        <v>44097</v>
      </c>
      <c r="AA55" s="102">
        <f t="shared" si="50"/>
        <v>44098</v>
      </c>
      <c r="AB55" s="102">
        <f t="shared" si="50"/>
        <v>44099</v>
      </c>
      <c r="AC55" s="102">
        <f t="shared" si="50"/>
        <v>44100</v>
      </c>
      <c r="AD55" s="102">
        <f t="shared" si="50"/>
        <v>44101</v>
      </c>
      <c r="AE55" s="102">
        <f t="shared" si="50"/>
        <v>44102</v>
      </c>
      <c r="AF55" s="102">
        <f t="shared" si="50"/>
        <v>44103</v>
      </c>
      <c r="AG55" s="102">
        <f t="shared" si="50"/>
        <v>44104</v>
      </c>
      <c r="AH55" s="102" t="str">
        <f t="shared" si="50"/>
        <v/>
      </c>
      <c r="AI55" s="102" t="str">
        <f t="shared" ref="AI55" si="51">IFERROR(IF(AH55+1&gt;$C$16,"",AH55+1),"")</f>
        <v/>
      </c>
      <c r="AJ55" s="102"/>
      <c r="AK55" s="102"/>
      <c r="AL55" s="102"/>
      <c r="AM55" s="102"/>
      <c r="AN55" s="102"/>
      <c r="AO55" s="102"/>
      <c r="AP55" s="77"/>
      <c r="AR55" s="77"/>
      <c r="AS55" s="77"/>
      <c r="AX55" s="77"/>
    </row>
    <row r="56" spans="2:50" ht="24" thickBot="1">
      <c r="B56" s="76" t="s">
        <v>12</v>
      </c>
      <c r="C56" s="103">
        <f>EOMONTH(C55,0)</f>
        <v>44104</v>
      </c>
      <c r="D56" s="217" t="s">
        <v>21</v>
      </c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9"/>
      <c r="AO56" s="77"/>
      <c r="AP56" s="77"/>
      <c r="AR56" s="77"/>
      <c r="AS56" s="77"/>
      <c r="AX56" s="77"/>
    </row>
    <row r="57" spans="2:50">
      <c r="D57" s="104">
        <f>IFERROR(DAY(D55),"")</f>
        <v>1</v>
      </c>
      <c r="E57" s="105">
        <f t="shared" ref="E57:AH57" si="52">IFERROR(DAY(E55),"")</f>
        <v>2</v>
      </c>
      <c r="F57" s="105">
        <f t="shared" si="52"/>
        <v>3</v>
      </c>
      <c r="G57" s="105">
        <f t="shared" si="52"/>
        <v>4</v>
      </c>
      <c r="H57" s="105">
        <f t="shared" si="52"/>
        <v>5</v>
      </c>
      <c r="I57" s="105">
        <f t="shared" si="52"/>
        <v>6</v>
      </c>
      <c r="J57" s="105">
        <f t="shared" si="52"/>
        <v>7</v>
      </c>
      <c r="K57" s="105">
        <f t="shared" si="52"/>
        <v>8</v>
      </c>
      <c r="L57" s="105">
        <f t="shared" si="52"/>
        <v>9</v>
      </c>
      <c r="M57" s="105">
        <f t="shared" si="52"/>
        <v>10</v>
      </c>
      <c r="N57" s="105">
        <f t="shared" si="52"/>
        <v>11</v>
      </c>
      <c r="O57" s="105">
        <f t="shared" si="52"/>
        <v>12</v>
      </c>
      <c r="P57" s="105">
        <f t="shared" si="52"/>
        <v>13</v>
      </c>
      <c r="Q57" s="105">
        <f t="shared" si="52"/>
        <v>14</v>
      </c>
      <c r="R57" s="105">
        <f t="shared" si="52"/>
        <v>15</v>
      </c>
      <c r="S57" s="105">
        <f t="shared" si="52"/>
        <v>16</v>
      </c>
      <c r="T57" s="105">
        <f t="shared" si="52"/>
        <v>17</v>
      </c>
      <c r="U57" s="105">
        <f t="shared" si="52"/>
        <v>18</v>
      </c>
      <c r="V57" s="105">
        <f t="shared" si="52"/>
        <v>19</v>
      </c>
      <c r="W57" s="105">
        <f t="shared" si="52"/>
        <v>20</v>
      </c>
      <c r="X57" s="105">
        <f t="shared" si="52"/>
        <v>21</v>
      </c>
      <c r="Y57" s="105">
        <f t="shared" si="52"/>
        <v>22</v>
      </c>
      <c r="Z57" s="105">
        <f t="shared" si="52"/>
        <v>23</v>
      </c>
      <c r="AA57" s="105">
        <f t="shared" si="52"/>
        <v>24</v>
      </c>
      <c r="AB57" s="105">
        <f t="shared" si="52"/>
        <v>25</v>
      </c>
      <c r="AC57" s="105">
        <f t="shared" si="52"/>
        <v>26</v>
      </c>
      <c r="AD57" s="105">
        <f t="shared" si="52"/>
        <v>27</v>
      </c>
      <c r="AE57" s="105">
        <f t="shared" si="52"/>
        <v>28</v>
      </c>
      <c r="AF57" s="105">
        <f t="shared" si="52"/>
        <v>29</v>
      </c>
      <c r="AG57" s="105">
        <f t="shared" si="52"/>
        <v>30</v>
      </c>
      <c r="AH57" s="106" t="str">
        <f t="shared" si="52"/>
        <v/>
      </c>
      <c r="AO57" s="77"/>
      <c r="AP57" s="77"/>
      <c r="AR57" s="77"/>
      <c r="AS57" s="77"/>
      <c r="AX57" s="77"/>
    </row>
    <row r="58" spans="2:50">
      <c r="D58" s="107">
        <f>IFERROR(WEEKDAY(D55,1),"")</f>
        <v>3</v>
      </c>
      <c r="E58" s="108">
        <f t="shared" ref="E58:AH58" si="53">IFERROR(WEEKDAY(E55,1),"")</f>
        <v>4</v>
      </c>
      <c r="F58" s="108">
        <f t="shared" si="53"/>
        <v>5</v>
      </c>
      <c r="G58" s="108">
        <f t="shared" si="53"/>
        <v>6</v>
      </c>
      <c r="H58" s="108">
        <f t="shared" si="53"/>
        <v>7</v>
      </c>
      <c r="I58" s="108">
        <f t="shared" si="53"/>
        <v>1</v>
      </c>
      <c r="J58" s="108">
        <f t="shared" si="53"/>
        <v>2</v>
      </c>
      <c r="K58" s="108">
        <f t="shared" si="53"/>
        <v>3</v>
      </c>
      <c r="L58" s="108">
        <f t="shared" si="53"/>
        <v>4</v>
      </c>
      <c r="M58" s="108">
        <f t="shared" si="53"/>
        <v>5</v>
      </c>
      <c r="N58" s="108">
        <f t="shared" si="53"/>
        <v>6</v>
      </c>
      <c r="O58" s="108">
        <f t="shared" si="53"/>
        <v>7</v>
      </c>
      <c r="P58" s="108">
        <f t="shared" si="53"/>
        <v>1</v>
      </c>
      <c r="Q58" s="108">
        <f t="shared" si="53"/>
        <v>2</v>
      </c>
      <c r="R58" s="108">
        <f t="shared" si="53"/>
        <v>3</v>
      </c>
      <c r="S58" s="108">
        <f t="shared" si="53"/>
        <v>4</v>
      </c>
      <c r="T58" s="108">
        <f t="shared" si="53"/>
        <v>5</v>
      </c>
      <c r="U58" s="108">
        <f t="shared" si="53"/>
        <v>6</v>
      </c>
      <c r="V58" s="108">
        <f t="shared" si="53"/>
        <v>7</v>
      </c>
      <c r="W58" s="108">
        <f t="shared" si="53"/>
        <v>1</v>
      </c>
      <c r="X58" s="108">
        <f t="shared" si="53"/>
        <v>2</v>
      </c>
      <c r="Y58" s="108">
        <f t="shared" si="53"/>
        <v>3</v>
      </c>
      <c r="Z58" s="108">
        <f t="shared" si="53"/>
        <v>4</v>
      </c>
      <c r="AA58" s="108">
        <f t="shared" si="53"/>
        <v>5</v>
      </c>
      <c r="AB58" s="108">
        <f t="shared" si="53"/>
        <v>6</v>
      </c>
      <c r="AC58" s="108">
        <f t="shared" si="53"/>
        <v>7</v>
      </c>
      <c r="AD58" s="108">
        <f t="shared" si="53"/>
        <v>1</v>
      </c>
      <c r="AE58" s="108">
        <f t="shared" si="53"/>
        <v>2</v>
      </c>
      <c r="AF58" s="108">
        <f t="shared" si="53"/>
        <v>3</v>
      </c>
      <c r="AG58" s="108">
        <f t="shared" si="53"/>
        <v>4</v>
      </c>
      <c r="AH58" s="109" t="str">
        <f t="shared" si="53"/>
        <v/>
      </c>
      <c r="AI58" s="150" t="s">
        <v>30</v>
      </c>
      <c r="AJ58" s="125" t="s">
        <v>90</v>
      </c>
      <c r="AK58" s="126" t="s">
        <v>91</v>
      </c>
      <c r="AL58" s="110" t="s">
        <v>92</v>
      </c>
      <c r="AM58" s="127" t="s">
        <v>93</v>
      </c>
      <c r="AN58" s="142" t="s">
        <v>102</v>
      </c>
      <c r="AO58" s="114" t="s">
        <v>33</v>
      </c>
      <c r="AP58" s="115" t="s">
        <v>28</v>
      </c>
      <c r="AQ58" s="116" t="s">
        <v>32</v>
      </c>
      <c r="AR58" s="128" t="s">
        <v>94</v>
      </c>
      <c r="AS58" s="118" t="s">
        <v>0</v>
      </c>
      <c r="AT58" s="119" t="s">
        <v>1</v>
      </c>
      <c r="AU58" s="145" t="s">
        <v>114</v>
      </c>
      <c r="AV58" s="120" t="s">
        <v>35</v>
      </c>
      <c r="AW58" s="146" t="s">
        <v>116</v>
      </c>
      <c r="AX58" s="121" t="s">
        <v>71</v>
      </c>
    </row>
    <row r="59" spans="2:50" ht="15.75" thickBot="1">
      <c r="D59" s="122" t="str">
        <f t="array" ref="D59">IF(OR(D58=1),"",IFERROR(INDEX(Tableau1[],MATCH(1,(PLANNING!D55&gt;=Tableau1[Date début])*(Tableau1[Date de fin]&gt;=PLANNING!D55)*(Tableau1[Nom]=PLANNING!$S$2),0),5),""))</f>
        <v/>
      </c>
      <c r="E59" s="123" t="str">
        <f t="array" ref="E59">IF(OR(E58=1),"",IFERROR(INDEX(Tableau1[],MATCH(1,(PLANNING!E55&gt;=Tableau1[Date début])*(Tableau1[Date de fin]&gt;=PLANNING!E55)*(Tableau1[Nom]=PLANNING!$S$2),0),5),""))</f>
        <v/>
      </c>
      <c r="F59" s="123" t="str">
        <f t="array" ref="F59">IF(OR(F58=1),"",IFERROR(INDEX(Tableau1[],MATCH(1,(PLANNING!F55&gt;=Tableau1[Date début])*(Tableau1[Date de fin]&gt;=PLANNING!F55)*(Tableau1[Nom]=PLANNING!$S$2),0),5),""))</f>
        <v/>
      </c>
      <c r="G59" s="123" t="str">
        <f t="array" ref="G59">IF(OR(G58=1),"",IFERROR(INDEX(Tableau1[],MATCH(1,(PLANNING!G55&gt;=Tableau1[Date début])*(Tableau1[Date de fin]&gt;=PLANNING!G55)*(Tableau1[Nom]=PLANNING!$S$2),0),5),""))</f>
        <v/>
      </c>
      <c r="H59" s="123" t="str">
        <f t="array" ref="H59">IF(OR(H58=1),"",IFERROR(INDEX(Tableau1[],MATCH(1,(PLANNING!H55&gt;=Tableau1[Date début])*(Tableau1[Date de fin]&gt;=PLANNING!H55)*(Tableau1[Nom]=PLANNING!$S$2),0),5),""))</f>
        <v/>
      </c>
      <c r="I59" s="123" t="str">
        <f t="array" ref="I59">IF(OR(I58=1),"",IFERROR(INDEX(Tableau1[],MATCH(1,(PLANNING!I55&gt;=Tableau1[Date début])*(Tableau1[Date de fin]&gt;=PLANNING!I55)*(Tableau1[Nom]=PLANNING!$S$2),0),5),""))</f>
        <v/>
      </c>
      <c r="J59" s="123" t="str">
        <f t="array" ref="J59">IF(OR(J58=1),"",IFERROR(INDEX(Tableau1[],MATCH(1,(PLANNING!J55&gt;=Tableau1[Date début])*(Tableau1[Date de fin]&gt;=PLANNING!J55)*(Tableau1[Nom]=PLANNING!$S$2),0),5),""))</f>
        <v/>
      </c>
      <c r="K59" s="123" t="str">
        <f t="array" ref="K59">IF(OR(K58=1),"",IFERROR(INDEX(Tableau1[],MATCH(1,(PLANNING!K55&gt;=Tableau1[Date début])*(Tableau1[Date de fin]&gt;=PLANNING!K55)*(Tableau1[Nom]=PLANNING!$S$2),0),5),""))</f>
        <v/>
      </c>
      <c r="L59" s="123" t="str">
        <f t="array" ref="L59">IF(OR(L58=1),"",IFERROR(INDEX(Tableau1[],MATCH(1,(PLANNING!L55&gt;=Tableau1[Date début])*(Tableau1[Date de fin]&gt;=PLANNING!L55)*(Tableau1[Nom]=PLANNING!$S$2),0),5),""))</f>
        <v/>
      </c>
      <c r="M59" s="123" t="str">
        <f t="array" ref="M59">IF(OR(M58=1),"",IFERROR(INDEX(Tableau1[],MATCH(1,(PLANNING!M55&gt;=Tableau1[Date début])*(Tableau1[Date de fin]&gt;=PLANNING!M55)*(Tableau1[Nom]=PLANNING!$S$2),0),5),""))</f>
        <v/>
      </c>
      <c r="N59" s="123" t="str">
        <f t="array" ref="N59">IF(OR(N58=1),"",IFERROR(INDEX(Tableau1[],MATCH(1,(PLANNING!N55&gt;=Tableau1[Date début])*(Tableau1[Date de fin]&gt;=PLANNING!N55)*(Tableau1[Nom]=PLANNING!$S$2),0),5),""))</f>
        <v/>
      </c>
      <c r="O59" s="123" t="str">
        <f t="array" ref="O59">IF(OR(O58=1),"",IFERROR(INDEX(Tableau1[],MATCH(1,(PLANNING!O55&gt;=Tableau1[Date début])*(Tableau1[Date de fin]&gt;=PLANNING!O55)*(Tableau1[Nom]=PLANNING!$S$2),0),5),""))</f>
        <v/>
      </c>
      <c r="P59" s="123" t="str">
        <f t="array" ref="P59">IF(OR(P58=1),"",IFERROR(INDEX(Tableau1[],MATCH(1,(PLANNING!P55&gt;=Tableau1[Date début])*(Tableau1[Date de fin]&gt;=PLANNING!P55)*(Tableau1[Nom]=PLANNING!$S$2),0),5),""))</f>
        <v/>
      </c>
      <c r="Q59" s="123" t="str">
        <f t="array" ref="Q59">IF(OR(Q58=1),"",IFERROR(INDEX(Tableau1[],MATCH(1,(PLANNING!Q55&gt;=Tableau1[Date début])*(Tableau1[Date de fin]&gt;=PLANNING!Q55)*(Tableau1[Nom]=PLANNING!$S$2),0),5),""))</f>
        <v/>
      </c>
      <c r="R59" s="123" t="str">
        <f t="array" ref="R59">IF(OR(R58=1),"",IFERROR(INDEX(Tableau1[],MATCH(1,(PLANNING!R55&gt;=Tableau1[Date début])*(Tableau1[Date de fin]&gt;=PLANNING!R55)*(Tableau1[Nom]=PLANNING!$S$2),0),5),""))</f>
        <v/>
      </c>
      <c r="S59" s="123" t="str">
        <f t="array" ref="S59">IF(OR(S58=1),"",IFERROR(INDEX(Tableau1[],MATCH(1,(PLANNING!S55&gt;=Tableau1[Date début])*(Tableau1[Date de fin]&gt;=PLANNING!S55)*(Tableau1[Nom]=PLANNING!$S$2),0),5),""))</f>
        <v/>
      </c>
      <c r="T59" s="123" t="str">
        <f t="array" ref="T59">IF(OR(T58=1),"",IFERROR(INDEX(Tableau1[],MATCH(1,(PLANNING!T55&gt;=Tableau1[Date début])*(Tableau1[Date de fin]&gt;=PLANNING!T55)*(Tableau1[Nom]=PLANNING!$S$2),0),5),""))</f>
        <v/>
      </c>
      <c r="U59" s="123" t="str">
        <f t="array" ref="U59">IF(OR(U58=1),"",IFERROR(INDEX(Tableau1[],MATCH(1,(PLANNING!U55&gt;=Tableau1[Date début])*(Tableau1[Date de fin]&gt;=PLANNING!U55)*(Tableau1[Nom]=PLANNING!$S$2),0),5),""))</f>
        <v/>
      </c>
      <c r="V59" s="123" t="str">
        <f t="array" ref="V59">IF(OR(V58=1),"",IFERROR(INDEX(Tableau1[],MATCH(1,(PLANNING!V55&gt;=Tableau1[Date début])*(Tableau1[Date de fin]&gt;=PLANNING!V55)*(Tableau1[Nom]=PLANNING!$S$2),0),5),""))</f>
        <v/>
      </c>
      <c r="W59" s="123" t="str">
        <f t="array" ref="W59">IF(OR(W58=1),"",IFERROR(INDEX(Tableau1[],MATCH(1,(PLANNING!W55&gt;=Tableau1[Date début])*(Tableau1[Date de fin]&gt;=PLANNING!W55)*(Tableau1[Nom]=PLANNING!$S$2),0),5),""))</f>
        <v/>
      </c>
      <c r="X59" s="123" t="str">
        <f t="array" ref="X59">IF(OR(X58=1),"",IFERROR(INDEX(Tableau1[],MATCH(1,(PLANNING!X55&gt;=Tableau1[Date début])*(Tableau1[Date de fin]&gt;=PLANNING!X55)*(Tableau1[Nom]=PLANNING!$S$2),0),5),""))</f>
        <v/>
      </c>
      <c r="Y59" s="123" t="str">
        <f t="array" ref="Y59">IF(OR(Y58=1),"",IFERROR(INDEX(Tableau1[],MATCH(1,(PLANNING!Y55&gt;=Tableau1[Date début])*(Tableau1[Date de fin]&gt;=PLANNING!Y55)*(Tableau1[Nom]=PLANNING!$S$2),0),5),""))</f>
        <v/>
      </c>
      <c r="Z59" s="123" t="str">
        <f t="array" ref="Z59">IF(OR(Z58=1),"",IFERROR(INDEX(Tableau1[],MATCH(1,(PLANNING!Z55&gt;=Tableau1[Date début])*(Tableau1[Date de fin]&gt;=PLANNING!Z55)*(Tableau1[Nom]=PLANNING!$S$2),0),5),""))</f>
        <v/>
      </c>
      <c r="AA59" s="123" t="str">
        <f t="array" ref="AA59">IF(OR(AA58=1),"",IFERROR(INDEX(Tableau1[],MATCH(1,(PLANNING!AA55&gt;=Tableau1[Date début])*(Tableau1[Date de fin]&gt;=PLANNING!AA55)*(Tableau1[Nom]=PLANNING!$S$2),0),5),""))</f>
        <v/>
      </c>
      <c r="AB59" s="123" t="str">
        <f t="array" ref="AB59">IF(OR(AB58=1),"",IFERROR(INDEX(Tableau1[],MATCH(1,(PLANNING!AB55&gt;=Tableau1[Date début])*(Tableau1[Date de fin]&gt;=PLANNING!AB55)*(Tableau1[Nom]=PLANNING!$S$2),0),5),""))</f>
        <v/>
      </c>
      <c r="AC59" s="123" t="str">
        <f t="array" ref="AC59">IF(OR(AC58=1),"",IFERROR(INDEX(Tableau1[],MATCH(1,(PLANNING!AC55&gt;=Tableau1[Date début])*(Tableau1[Date de fin]&gt;=PLANNING!AC55)*(Tableau1[Nom]=PLANNING!$S$2),0),5),""))</f>
        <v/>
      </c>
      <c r="AD59" s="123" t="str">
        <f t="array" ref="AD59">IF(OR(AD58=1),"",IFERROR(INDEX(Tableau1[],MATCH(1,(PLANNING!AD55&gt;=Tableau1[Date début])*(Tableau1[Date de fin]&gt;=PLANNING!AD55)*(Tableau1[Nom]=PLANNING!$S$2),0),5),""))</f>
        <v/>
      </c>
      <c r="AE59" s="123" t="str">
        <f t="array" ref="AE59">IF(OR(AE58=1),"",IFERROR(INDEX(Tableau1[],MATCH(1,(PLANNING!AE55&gt;=Tableau1[Date début])*(Tableau1[Date de fin]&gt;=PLANNING!AE55)*(Tableau1[Nom]=PLANNING!$S$2),0),5),""))</f>
        <v/>
      </c>
      <c r="AF59" s="123" t="str">
        <f t="array" ref="AF59">IF(OR(AF58=1),"",IFERROR(INDEX(Tableau1[],MATCH(1,(PLANNING!AF55&gt;=Tableau1[Date début])*(Tableau1[Date de fin]&gt;=PLANNING!AF55)*(Tableau1[Nom]=PLANNING!$S$2),0),5),""))</f>
        <v/>
      </c>
      <c r="AG59" s="123" t="str">
        <f t="array" ref="AG59">IF(OR(AG58=1),"",IFERROR(INDEX(Tableau1[],MATCH(1,(PLANNING!AG55&gt;=Tableau1[Date début])*(Tableau1[Date de fin]&gt;=PLANNING!AG55)*(Tableau1[Nom]=PLANNING!$S$2),0),5),""))</f>
        <v/>
      </c>
      <c r="AH59" s="124" t="str">
        <f t="array" ref="AH59">IF(OR(AH58=1),"",IFERROR(INDEX(Tableau1[],MATCH(1,(PLANNING!AH55&gt;=Tableau1[Date début])*(Tableau1[Date de fin]&gt;=PLANNING!AH55)*(Tableau1[Nom]=PLANNING!$S$2),0),5),""))</f>
        <v/>
      </c>
      <c r="AI59" s="77">
        <f>COUNTIF($D$59:$AH$59,AI58)</f>
        <v>0</v>
      </c>
      <c r="AJ59" s="77">
        <f t="shared" ref="AJ59:AR59" si="54">COUNTIF($D$59:$AH$59,AJ58)</f>
        <v>0</v>
      </c>
      <c r="AK59" s="77">
        <f t="shared" si="54"/>
        <v>0</v>
      </c>
      <c r="AL59" s="77">
        <f t="shared" si="54"/>
        <v>0</v>
      </c>
      <c r="AM59" s="77">
        <f>COUNTIF($D$59:$AH$59,AM58)</f>
        <v>0</v>
      </c>
      <c r="AN59" s="77">
        <f>COUNTIF($D$59:$AH$59,AN58)</f>
        <v>0</v>
      </c>
      <c r="AO59" s="77">
        <f t="shared" si="54"/>
        <v>0</v>
      </c>
      <c r="AP59" s="77">
        <f t="shared" si="54"/>
        <v>0</v>
      </c>
      <c r="AQ59" s="77">
        <f t="shared" si="54"/>
        <v>0</v>
      </c>
      <c r="AR59" s="77">
        <f t="shared" si="54"/>
        <v>0</v>
      </c>
      <c r="AS59" s="77">
        <f t="shared" ref="AS59:AV59" si="55">COUNTIF($D$59:$AH$59,AS58)</f>
        <v>0</v>
      </c>
      <c r="AT59" s="77">
        <f>COUNTIF($D$59:$AH$59,AT58)</f>
        <v>0</v>
      </c>
      <c r="AU59" s="77">
        <f>COUNTIF($D$59:$AH$59,AU58)</f>
        <v>0</v>
      </c>
      <c r="AV59" s="77">
        <f t="shared" si="55"/>
        <v>0</v>
      </c>
      <c r="AW59" s="77">
        <f>COUNTIF($D$59:$AH$59,AW58)</f>
        <v>0</v>
      </c>
      <c r="AX59" s="77">
        <f>CALENDRIER!AC27</f>
        <v>0</v>
      </c>
    </row>
    <row r="60" spans="2:50" ht="57" hidden="1" thickBot="1">
      <c r="B60" s="76" t="s">
        <v>11</v>
      </c>
      <c r="C60" s="101">
        <f>DATE($D$2,MONTH(1&amp;"/"&amp;D61),1)</f>
        <v>44105</v>
      </c>
      <c r="D60" s="102">
        <f>C60</f>
        <v>44105</v>
      </c>
      <c r="E60" s="102">
        <f>IFERROR(IF(D60+1&gt;$C$61,"",D60+1),"")</f>
        <v>44106</v>
      </c>
      <c r="F60" s="102">
        <f t="shared" ref="F60:AH60" si="56">IFERROR(IF(E60+1&gt;$C$61,"",E60+1),"")</f>
        <v>44107</v>
      </c>
      <c r="G60" s="102">
        <f t="shared" si="56"/>
        <v>44108</v>
      </c>
      <c r="H60" s="102">
        <f t="shared" si="56"/>
        <v>44109</v>
      </c>
      <c r="I60" s="102">
        <f t="shared" si="56"/>
        <v>44110</v>
      </c>
      <c r="J60" s="102">
        <f t="shared" si="56"/>
        <v>44111</v>
      </c>
      <c r="K60" s="102">
        <f t="shared" si="56"/>
        <v>44112</v>
      </c>
      <c r="L60" s="102">
        <f t="shared" si="56"/>
        <v>44113</v>
      </c>
      <c r="M60" s="102">
        <f t="shared" si="56"/>
        <v>44114</v>
      </c>
      <c r="N60" s="102">
        <f t="shared" si="56"/>
        <v>44115</v>
      </c>
      <c r="O60" s="102">
        <f t="shared" si="56"/>
        <v>44116</v>
      </c>
      <c r="P60" s="102">
        <f t="shared" si="56"/>
        <v>44117</v>
      </c>
      <c r="Q60" s="102">
        <f t="shared" si="56"/>
        <v>44118</v>
      </c>
      <c r="R60" s="102">
        <f t="shared" si="56"/>
        <v>44119</v>
      </c>
      <c r="S60" s="102">
        <f t="shared" si="56"/>
        <v>44120</v>
      </c>
      <c r="T60" s="102">
        <f t="shared" si="56"/>
        <v>44121</v>
      </c>
      <c r="U60" s="102">
        <f t="shared" si="56"/>
        <v>44122</v>
      </c>
      <c r="V60" s="102">
        <f t="shared" si="56"/>
        <v>44123</v>
      </c>
      <c r="W60" s="102">
        <f t="shared" si="56"/>
        <v>44124</v>
      </c>
      <c r="X60" s="102">
        <f t="shared" si="56"/>
        <v>44125</v>
      </c>
      <c r="Y60" s="102">
        <f t="shared" si="56"/>
        <v>44126</v>
      </c>
      <c r="Z60" s="102">
        <f t="shared" si="56"/>
        <v>44127</v>
      </c>
      <c r="AA60" s="102">
        <f t="shared" si="56"/>
        <v>44128</v>
      </c>
      <c r="AB60" s="102">
        <f t="shared" si="56"/>
        <v>44129</v>
      </c>
      <c r="AC60" s="102">
        <f t="shared" si="56"/>
        <v>44130</v>
      </c>
      <c r="AD60" s="102">
        <f t="shared" si="56"/>
        <v>44131</v>
      </c>
      <c r="AE60" s="102">
        <f t="shared" si="56"/>
        <v>44132</v>
      </c>
      <c r="AF60" s="102">
        <f t="shared" si="56"/>
        <v>44133</v>
      </c>
      <c r="AG60" s="102">
        <f t="shared" si="56"/>
        <v>44134</v>
      </c>
      <c r="AH60" s="102">
        <f t="shared" si="56"/>
        <v>44135</v>
      </c>
      <c r="AI60" s="102" t="str">
        <f t="shared" ref="AI60" si="57">IFERROR(IF(AH60+1&gt;$C$16,"",AH60+1),"")</f>
        <v/>
      </c>
      <c r="AJ60" s="102"/>
      <c r="AK60" s="102"/>
      <c r="AL60" s="102"/>
      <c r="AM60" s="102"/>
      <c r="AN60" s="102"/>
      <c r="AO60" s="102"/>
      <c r="AP60" s="77"/>
      <c r="AR60" s="77"/>
      <c r="AS60" s="77"/>
      <c r="AX60" s="77"/>
    </row>
    <row r="61" spans="2:50" ht="24" thickBot="1">
      <c r="B61" s="76" t="s">
        <v>12</v>
      </c>
      <c r="C61" s="103">
        <f>EOMONTH(C60,0)</f>
        <v>44135</v>
      </c>
      <c r="D61" s="214" t="s">
        <v>22</v>
      </c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6"/>
      <c r="AO61" s="77"/>
      <c r="AP61" s="77"/>
      <c r="AR61" s="77"/>
      <c r="AS61" s="77"/>
      <c r="AX61" s="77"/>
    </row>
    <row r="62" spans="2:50">
      <c r="D62" s="104">
        <f>IFERROR(DAY(D60),"")</f>
        <v>1</v>
      </c>
      <c r="E62" s="105">
        <f t="shared" ref="E62:AH62" si="58">IFERROR(DAY(E60),"")</f>
        <v>2</v>
      </c>
      <c r="F62" s="105">
        <f t="shared" si="58"/>
        <v>3</v>
      </c>
      <c r="G62" s="105">
        <f t="shared" si="58"/>
        <v>4</v>
      </c>
      <c r="H62" s="105">
        <f t="shared" si="58"/>
        <v>5</v>
      </c>
      <c r="I62" s="105">
        <f t="shared" si="58"/>
        <v>6</v>
      </c>
      <c r="J62" s="105">
        <f t="shared" si="58"/>
        <v>7</v>
      </c>
      <c r="K62" s="105">
        <f t="shared" si="58"/>
        <v>8</v>
      </c>
      <c r="L62" s="105">
        <f t="shared" si="58"/>
        <v>9</v>
      </c>
      <c r="M62" s="105">
        <f t="shared" si="58"/>
        <v>10</v>
      </c>
      <c r="N62" s="105">
        <f t="shared" si="58"/>
        <v>11</v>
      </c>
      <c r="O62" s="105">
        <f t="shared" si="58"/>
        <v>12</v>
      </c>
      <c r="P62" s="105">
        <f t="shared" si="58"/>
        <v>13</v>
      </c>
      <c r="Q62" s="105">
        <f t="shared" si="58"/>
        <v>14</v>
      </c>
      <c r="R62" s="105">
        <f t="shared" si="58"/>
        <v>15</v>
      </c>
      <c r="S62" s="105">
        <f t="shared" si="58"/>
        <v>16</v>
      </c>
      <c r="T62" s="105">
        <f t="shared" si="58"/>
        <v>17</v>
      </c>
      <c r="U62" s="105">
        <f t="shared" si="58"/>
        <v>18</v>
      </c>
      <c r="V62" s="105">
        <f t="shared" si="58"/>
        <v>19</v>
      </c>
      <c r="W62" s="105">
        <f t="shared" si="58"/>
        <v>20</v>
      </c>
      <c r="X62" s="105">
        <f t="shared" si="58"/>
        <v>21</v>
      </c>
      <c r="Y62" s="105">
        <f t="shared" si="58"/>
        <v>22</v>
      </c>
      <c r="Z62" s="105">
        <f t="shared" si="58"/>
        <v>23</v>
      </c>
      <c r="AA62" s="105">
        <f t="shared" si="58"/>
        <v>24</v>
      </c>
      <c r="AB62" s="105">
        <f t="shared" si="58"/>
        <v>25</v>
      </c>
      <c r="AC62" s="105">
        <f t="shared" si="58"/>
        <v>26</v>
      </c>
      <c r="AD62" s="105">
        <f t="shared" si="58"/>
        <v>27</v>
      </c>
      <c r="AE62" s="105">
        <f t="shared" si="58"/>
        <v>28</v>
      </c>
      <c r="AF62" s="105">
        <f t="shared" si="58"/>
        <v>29</v>
      </c>
      <c r="AG62" s="105">
        <f t="shared" si="58"/>
        <v>30</v>
      </c>
      <c r="AH62" s="106">
        <f t="shared" si="58"/>
        <v>31</v>
      </c>
      <c r="AO62" s="77"/>
      <c r="AP62" s="77"/>
      <c r="AR62" s="77"/>
      <c r="AS62" s="77"/>
      <c r="AX62" s="77"/>
    </row>
    <row r="63" spans="2:50">
      <c r="D63" s="107">
        <f>IFERROR(WEEKDAY(D60,1),"")</f>
        <v>5</v>
      </c>
      <c r="E63" s="108">
        <f t="shared" ref="E63:AH63" si="59">IFERROR(WEEKDAY(E60,1),"")</f>
        <v>6</v>
      </c>
      <c r="F63" s="108">
        <f t="shared" si="59"/>
        <v>7</v>
      </c>
      <c r="G63" s="108">
        <f t="shared" si="59"/>
        <v>1</v>
      </c>
      <c r="H63" s="108">
        <f t="shared" si="59"/>
        <v>2</v>
      </c>
      <c r="I63" s="108">
        <f t="shared" si="59"/>
        <v>3</v>
      </c>
      <c r="J63" s="108">
        <f t="shared" si="59"/>
        <v>4</v>
      </c>
      <c r="K63" s="108">
        <f t="shared" si="59"/>
        <v>5</v>
      </c>
      <c r="L63" s="108">
        <f t="shared" si="59"/>
        <v>6</v>
      </c>
      <c r="M63" s="108">
        <f t="shared" si="59"/>
        <v>7</v>
      </c>
      <c r="N63" s="108">
        <f t="shared" si="59"/>
        <v>1</v>
      </c>
      <c r="O63" s="108">
        <f t="shared" si="59"/>
        <v>2</v>
      </c>
      <c r="P63" s="108">
        <f t="shared" si="59"/>
        <v>3</v>
      </c>
      <c r="Q63" s="108">
        <f t="shared" si="59"/>
        <v>4</v>
      </c>
      <c r="R63" s="108">
        <f t="shared" si="59"/>
        <v>5</v>
      </c>
      <c r="S63" s="108">
        <f t="shared" si="59"/>
        <v>6</v>
      </c>
      <c r="T63" s="108">
        <f t="shared" si="59"/>
        <v>7</v>
      </c>
      <c r="U63" s="108">
        <f t="shared" si="59"/>
        <v>1</v>
      </c>
      <c r="V63" s="108">
        <f t="shared" si="59"/>
        <v>2</v>
      </c>
      <c r="W63" s="108">
        <f t="shared" si="59"/>
        <v>3</v>
      </c>
      <c r="X63" s="108">
        <f t="shared" si="59"/>
        <v>4</v>
      </c>
      <c r="Y63" s="108">
        <f t="shared" si="59"/>
        <v>5</v>
      </c>
      <c r="Z63" s="108">
        <f t="shared" si="59"/>
        <v>6</v>
      </c>
      <c r="AA63" s="108">
        <f t="shared" si="59"/>
        <v>7</v>
      </c>
      <c r="AB63" s="108">
        <f t="shared" si="59"/>
        <v>1</v>
      </c>
      <c r="AC63" s="108">
        <f t="shared" si="59"/>
        <v>2</v>
      </c>
      <c r="AD63" s="108">
        <f t="shared" si="59"/>
        <v>3</v>
      </c>
      <c r="AE63" s="108">
        <f t="shared" si="59"/>
        <v>4</v>
      </c>
      <c r="AF63" s="108">
        <f t="shared" si="59"/>
        <v>5</v>
      </c>
      <c r="AG63" s="108">
        <f t="shared" si="59"/>
        <v>6</v>
      </c>
      <c r="AH63" s="109">
        <f t="shared" si="59"/>
        <v>7</v>
      </c>
      <c r="AI63" s="150" t="s">
        <v>30</v>
      </c>
      <c r="AJ63" s="125" t="s">
        <v>90</v>
      </c>
      <c r="AK63" s="126" t="s">
        <v>91</v>
      </c>
      <c r="AL63" s="110" t="s">
        <v>92</v>
      </c>
      <c r="AM63" s="127" t="s">
        <v>93</v>
      </c>
      <c r="AN63" s="142" t="s">
        <v>102</v>
      </c>
      <c r="AO63" s="114" t="s">
        <v>33</v>
      </c>
      <c r="AP63" s="115" t="s">
        <v>28</v>
      </c>
      <c r="AQ63" s="116" t="s">
        <v>32</v>
      </c>
      <c r="AR63" s="128" t="s">
        <v>94</v>
      </c>
      <c r="AS63" s="118" t="s">
        <v>0</v>
      </c>
      <c r="AT63" s="119" t="s">
        <v>1</v>
      </c>
      <c r="AU63" s="145" t="s">
        <v>114</v>
      </c>
      <c r="AV63" s="120" t="s">
        <v>35</v>
      </c>
      <c r="AW63" s="146" t="s">
        <v>116</v>
      </c>
      <c r="AX63" s="121" t="s">
        <v>71</v>
      </c>
    </row>
    <row r="64" spans="2:50" ht="15.75" thickBot="1">
      <c r="D64" s="122" t="str">
        <f t="array" ref="D64">IF(OR(D63=1),"",IFERROR(INDEX(Tableau1[],MATCH(1,(PLANNING!D60&gt;=Tableau1[Date début])*(Tableau1[Date de fin]&gt;=PLANNING!D60)*(Tableau1[Nom]=PLANNING!$S$2),0),5),""))</f>
        <v/>
      </c>
      <c r="E64" s="123" t="str">
        <f t="array" ref="E64">IF(OR(E63=1),"",IFERROR(INDEX(Tableau1[],MATCH(1,(PLANNING!E60&gt;=Tableau1[Date début])*(Tableau1[Date de fin]&gt;=PLANNING!E60)*(Tableau1[Nom]=PLANNING!$S$2),0),5),""))</f>
        <v/>
      </c>
      <c r="F64" s="123" t="str">
        <f t="array" ref="F64">IF(OR(F63=1),"",IFERROR(INDEX(Tableau1[],MATCH(1,(PLANNING!F60&gt;=Tableau1[Date début])*(Tableau1[Date de fin]&gt;=PLANNING!F60)*(Tableau1[Nom]=PLANNING!$S$2),0),5),""))</f>
        <v/>
      </c>
      <c r="G64" s="123" t="str">
        <f t="array" ref="G64">IF(OR(G63=1),"",IFERROR(INDEX(Tableau1[],MATCH(1,(PLANNING!G60&gt;=Tableau1[Date début])*(Tableau1[Date de fin]&gt;=PLANNING!G60)*(Tableau1[Nom]=PLANNING!$S$2),0),5),""))</f>
        <v/>
      </c>
      <c r="H64" s="123" t="str">
        <f t="array" ref="H64">IF(OR(H63=1),"",IFERROR(INDEX(Tableau1[],MATCH(1,(PLANNING!H60&gt;=Tableau1[Date début])*(Tableau1[Date de fin]&gt;=PLANNING!H60)*(Tableau1[Nom]=PLANNING!$S$2),0),5),""))</f>
        <v/>
      </c>
      <c r="I64" s="123" t="str">
        <f t="array" ref="I64">IF(OR(I63=1),"",IFERROR(INDEX(Tableau1[],MATCH(1,(PLANNING!I60&gt;=Tableau1[Date début])*(Tableau1[Date de fin]&gt;=PLANNING!I60)*(Tableau1[Nom]=PLANNING!$S$2),0),5),""))</f>
        <v/>
      </c>
      <c r="J64" s="123" t="str">
        <f t="array" ref="J64">IF(OR(J63=1),"",IFERROR(INDEX(Tableau1[],MATCH(1,(PLANNING!J60&gt;=Tableau1[Date début])*(Tableau1[Date de fin]&gt;=PLANNING!J60)*(Tableau1[Nom]=PLANNING!$S$2),0),5),""))</f>
        <v/>
      </c>
      <c r="K64" s="123" t="str">
        <f t="array" ref="K64">IF(OR(K63=1),"",IFERROR(INDEX(Tableau1[],MATCH(1,(PLANNING!K60&gt;=Tableau1[Date début])*(Tableau1[Date de fin]&gt;=PLANNING!K60)*(Tableau1[Nom]=PLANNING!$S$2),0),5),""))</f>
        <v/>
      </c>
      <c r="L64" s="123" t="str">
        <f t="array" ref="L64">IF(OR(L63=1),"",IFERROR(INDEX(Tableau1[],MATCH(1,(PLANNING!L60&gt;=Tableau1[Date début])*(Tableau1[Date de fin]&gt;=PLANNING!L60)*(Tableau1[Nom]=PLANNING!$S$2),0),5),""))</f>
        <v/>
      </c>
      <c r="M64" s="123" t="str">
        <f t="array" ref="M64">IF(OR(M63=1),"",IFERROR(INDEX(Tableau1[],MATCH(1,(PLANNING!M60&gt;=Tableau1[Date début])*(Tableau1[Date de fin]&gt;=PLANNING!M60)*(Tableau1[Nom]=PLANNING!$S$2),0),5),""))</f>
        <v/>
      </c>
      <c r="N64" s="123" t="str">
        <f t="array" ref="N64">IF(OR(N63=1),"",IFERROR(INDEX(Tableau1[],MATCH(1,(PLANNING!N60&gt;=Tableau1[Date début])*(Tableau1[Date de fin]&gt;=PLANNING!N60)*(Tableau1[Nom]=PLANNING!$S$2),0),5),""))</f>
        <v/>
      </c>
      <c r="O64" s="123" t="str">
        <f t="array" ref="O64">IF(OR(O63=1),"",IFERROR(INDEX(Tableau1[],MATCH(1,(PLANNING!O60&gt;=Tableau1[Date début])*(Tableau1[Date de fin]&gt;=PLANNING!O60)*(Tableau1[Nom]=PLANNING!$S$2),0),5),""))</f>
        <v/>
      </c>
      <c r="P64" s="123" t="str">
        <f t="array" ref="P64">IF(OR(P63=1),"",IFERROR(INDEX(Tableau1[],MATCH(1,(PLANNING!P60&gt;=Tableau1[Date début])*(Tableau1[Date de fin]&gt;=PLANNING!P60)*(Tableau1[Nom]=PLANNING!$S$2),0),5),""))</f>
        <v/>
      </c>
      <c r="Q64" s="123" t="str">
        <f t="array" ref="Q64">IF(OR(Q63=1),"",IFERROR(INDEX(Tableau1[],MATCH(1,(PLANNING!Q60&gt;=Tableau1[Date début])*(Tableau1[Date de fin]&gt;=PLANNING!Q60)*(Tableau1[Nom]=PLANNING!$S$2),0),5),""))</f>
        <v/>
      </c>
      <c r="R64" s="123" t="str">
        <f t="array" ref="R64">IF(OR(R63=1),"",IFERROR(INDEX(Tableau1[],MATCH(1,(PLANNING!R60&gt;=Tableau1[Date début])*(Tableau1[Date de fin]&gt;=PLANNING!R60)*(Tableau1[Nom]=PLANNING!$S$2),0),5),""))</f>
        <v/>
      </c>
      <c r="S64" s="123" t="str">
        <f t="array" ref="S64">IF(OR(S63=1),"",IFERROR(INDEX(Tableau1[],MATCH(1,(PLANNING!S60&gt;=Tableau1[Date début])*(Tableau1[Date de fin]&gt;=PLANNING!S60)*(Tableau1[Nom]=PLANNING!$S$2),0),5),""))</f>
        <v/>
      </c>
      <c r="T64" s="123" t="str">
        <f t="array" ref="T64">IF(OR(T63=1),"",IFERROR(INDEX(Tableau1[],MATCH(1,(PLANNING!T60&gt;=Tableau1[Date début])*(Tableau1[Date de fin]&gt;=PLANNING!T60)*(Tableau1[Nom]=PLANNING!$S$2),0),5),""))</f>
        <v/>
      </c>
      <c r="U64" s="123" t="str">
        <f t="array" ref="U64">IF(OR(U63=1),"",IFERROR(INDEX(Tableau1[],MATCH(1,(PLANNING!U60&gt;=Tableau1[Date début])*(Tableau1[Date de fin]&gt;=PLANNING!U60)*(Tableau1[Nom]=PLANNING!$S$2),0),5),""))</f>
        <v/>
      </c>
      <c r="V64" s="123" t="str">
        <f t="array" ref="V64">IF(OR(V63=1),"",IFERROR(INDEX(Tableau1[],MATCH(1,(PLANNING!V60&gt;=Tableau1[Date début])*(Tableau1[Date de fin]&gt;=PLANNING!V60)*(Tableau1[Nom]=PLANNING!$S$2),0),5),""))</f>
        <v/>
      </c>
      <c r="W64" s="123" t="str">
        <f t="array" ref="W64">IF(OR(W63=1),"",IFERROR(INDEX(Tableau1[],MATCH(1,(PLANNING!W60&gt;=Tableau1[Date début])*(Tableau1[Date de fin]&gt;=PLANNING!W60)*(Tableau1[Nom]=PLANNING!$S$2),0),5),""))</f>
        <v/>
      </c>
      <c r="X64" s="123" t="str">
        <f t="array" ref="X64">IF(OR(X63=1),"",IFERROR(INDEX(Tableau1[],MATCH(1,(PLANNING!X60&gt;=Tableau1[Date début])*(Tableau1[Date de fin]&gt;=PLANNING!X60)*(Tableau1[Nom]=PLANNING!$S$2),0),5),""))</f>
        <v/>
      </c>
      <c r="Y64" s="123" t="str">
        <f t="array" ref="Y64">IF(OR(Y63=1),"",IFERROR(INDEX(Tableau1[],MATCH(1,(PLANNING!Y60&gt;=Tableau1[Date début])*(Tableau1[Date de fin]&gt;=PLANNING!Y60)*(Tableau1[Nom]=PLANNING!$S$2),0),5),""))</f>
        <v/>
      </c>
      <c r="Z64" s="123" t="str">
        <f t="array" ref="Z64">IF(OR(Z63=1),"",IFERROR(INDEX(Tableau1[],MATCH(1,(PLANNING!Z60&gt;=Tableau1[Date début])*(Tableau1[Date de fin]&gt;=PLANNING!Z60)*(Tableau1[Nom]=PLANNING!$S$2),0),5),""))</f>
        <v/>
      </c>
      <c r="AA64" s="123" t="str">
        <f t="array" ref="AA64">IF(OR(AA63=1),"",IFERROR(INDEX(Tableau1[],MATCH(1,(PLANNING!AA60&gt;=Tableau1[Date début])*(Tableau1[Date de fin]&gt;=PLANNING!AA60)*(Tableau1[Nom]=PLANNING!$S$2),0),5),""))</f>
        <v/>
      </c>
      <c r="AB64" s="123" t="str">
        <f t="array" ref="AB64">IF(OR(AB63=1),"",IFERROR(INDEX(Tableau1[],MATCH(1,(PLANNING!AB60&gt;=Tableau1[Date début])*(Tableau1[Date de fin]&gt;=PLANNING!AB60)*(Tableau1[Nom]=PLANNING!$S$2),0),5),""))</f>
        <v/>
      </c>
      <c r="AC64" s="123" t="str">
        <f t="array" ref="AC64">IF(OR(AC63=1),"",IFERROR(INDEX(Tableau1[],MATCH(1,(PLANNING!AC60&gt;=Tableau1[Date début])*(Tableau1[Date de fin]&gt;=PLANNING!AC60)*(Tableau1[Nom]=PLANNING!$S$2),0),5),""))</f>
        <v/>
      </c>
      <c r="AD64" s="123" t="str">
        <f t="array" ref="AD64">IF(OR(AD63=1),"",IFERROR(INDEX(Tableau1[],MATCH(1,(PLANNING!AD60&gt;=Tableau1[Date début])*(Tableau1[Date de fin]&gt;=PLANNING!AD60)*(Tableau1[Nom]=PLANNING!$S$2),0),5),""))</f>
        <v/>
      </c>
      <c r="AE64" s="123" t="str">
        <f t="array" ref="AE64">IF(OR(AE63=1),"",IFERROR(INDEX(Tableau1[],MATCH(1,(PLANNING!AE60&gt;=Tableau1[Date début])*(Tableau1[Date de fin]&gt;=PLANNING!AE60)*(Tableau1[Nom]=PLANNING!$S$2),0),5),""))</f>
        <v/>
      </c>
      <c r="AF64" s="123" t="str">
        <f t="array" ref="AF64">IF(OR(AF63=1),"",IFERROR(INDEX(Tableau1[],MATCH(1,(PLANNING!AF60&gt;=Tableau1[Date début])*(Tableau1[Date de fin]&gt;=PLANNING!AF60)*(Tableau1[Nom]=PLANNING!$S$2),0),5),""))</f>
        <v/>
      </c>
      <c r="AG64" s="123" t="str">
        <f t="array" ref="AG64">IF(OR(AG63=1),"",IFERROR(INDEX(Tableau1[],MATCH(1,(PLANNING!AG60&gt;=Tableau1[Date début])*(Tableau1[Date de fin]&gt;=PLANNING!AG60)*(Tableau1[Nom]=PLANNING!$S$2),0),5),""))</f>
        <v/>
      </c>
      <c r="AH64" s="124" t="str">
        <f t="array" ref="AH64">IF(OR(AH63=1),"",IFERROR(INDEX(Tableau1[],MATCH(1,(PLANNING!AH60&gt;=Tableau1[Date début])*(Tableau1[Date de fin]&gt;=PLANNING!AH60)*(Tableau1[Nom]=PLANNING!$S$2),0),5),""))</f>
        <v/>
      </c>
      <c r="AI64" s="77">
        <f>COUNTIF($D$64:$AH$64,AI63)</f>
        <v>0</v>
      </c>
      <c r="AJ64" s="77">
        <f t="shared" ref="AJ64:AR64" si="60">COUNTIF($D$64:$AH$64,AJ63)</f>
        <v>0</v>
      </c>
      <c r="AK64" s="77">
        <f t="shared" si="60"/>
        <v>0</v>
      </c>
      <c r="AL64" s="77">
        <f t="shared" si="60"/>
        <v>0</v>
      </c>
      <c r="AM64" s="77">
        <f>COUNTIF($D$64:$AH$64,AM63)</f>
        <v>0</v>
      </c>
      <c r="AN64" s="77">
        <f>COUNTIF($D$64:$AH$64,AN63)</f>
        <v>0</v>
      </c>
      <c r="AO64" s="77">
        <f t="shared" si="60"/>
        <v>0</v>
      </c>
      <c r="AP64" s="77">
        <f t="shared" si="60"/>
        <v>0</v>
      </c>
      <c r="AQ64" s="77">
        <f t="shared" si="60"/>
        <v>0</v>
      </c>
      <c r="AR64" s="77">
        <f t="shared" si="60"/>
        <v>0</v>
      </c>
      <c r="AS64" s="77">
        <f t="shared" ref="AS64:AV64" si="61">COUNTIF($D$64:$AH$64,AS63)</f>
        <v>0</v>
      </c>
      <c r="AT64" s="77">
        <f>COUNTIF($D$64:$AH$64,AT63)</f>
        <v>0</v>
      </c>
      <c r="AU64" s="77">
        <f>COUNTIF($D$64:$AH$64,AU63)</f>
        <v>0</v>
      </c>
      <c r="AV64" s="77">
        <f t="shared" si="61"/>
        <v>0</v>
      </c>
      <c r="AW64" s="77">
        <f>COUNTIF($D$64:$AH$64,AW63)</f>
        <v>0</v>
      </c>
      <c r="AX64" s="77">
        <f>CALENDRIER!AC28</f>
        <v>0</v>
      </c>
    </row>
    <row r="65" spans="2:50" ht="57" hidden="1" thickBot="1">
      <c r="B65" s="76" t="s">
        <v>11</v>
      </c>
      <c r="C65" s="101">
        <f>DATE($D$2,MONTH(1&amp;"/"&amp;D66),1)</f>
        <v>44136</v>
      </c>
      <c r="D65" s="102">
        <f>C65</f>
        <v>44136</v>
      </c>
      <c r="E65" s="102">
        <f>IFERROR(IF(D65+1&gt;$C$66,"",D65+1),"")</f>
        <v>44137</v>
      </c>
      <c r="F65" s="102">
        <f t="shared" ref="F65:AH65" si="62">IFERROR(IF(E65+1&gt;$C$66,"",E65+1),"")</f>
        <v>44138</v>
      </c>
      <c r="G65" s="102">
        <f t="shared" si="62"/>
        <v>44139</v>
      </c>
      <c r="H65" s="102">
        <f t="shared" si="62"/>
        <v>44140</v>
      </c>
      <c r="I65" s="102">
        <f t="shared" si="62"/>
        <v>44141</v>
      </c>
      <c r="J65" s="102">
        <f t="shared" si="62"/>
        <v>44142</v>
      </c>
      <c r="K65" s="102">
        <f t="shared" si="62"/>
        <v>44143</v>
      </c>
      <c r="L65" s="102">
        <f t="shared" si="62"/>
        <v>44144</v>
      </c>
      <c r="M65" s="102">
        <f t="shared" si="62"/>
        <v>44145</v>
      </c>
      <c r="N65" s="102">
        <f t="shared" si="62"/>
        <v>44146</v>
      </c>
      <c r="O65" s="102">
        <f t="shared" si="62"/>
        <v>44147</v>
      </c>
      <c r="P65" s="102">
        <f t="shared" si="62"/>
        <v>44148</v>
      </c>
      <c r="Q65" s="102">
        <f t="shared" si="62"/>
        <v>44149</v>
      </c>
      <c r="R65" s="102">
        <f t="shared" si="62"/>
        <v>44150</v>
      </c>
      <c r="S65" s="102">
        <f t="shared" si="62"/>
        <v>44151</v>
      </c>
      <c r="T65" s="102">
        <f t="shared" si="62"/>
        <v>44152</v>
      </c>
      <c r="U65" s="102">
        <f t="shared" si="62"/>
        <v>44153</v>
      </c>
      <c r="V65" s="102">
        <f t="shared" si="62"/>
        <v>44154</v>
      </c>
      <c r="W65" s="102">
        <f t="shared" si="62"/>
        <v>44155</v>
      </c>
      <c r="X65" s="102">
        <f t="shared" si="62"/>
        <v>44156</v>
      </c>
      <c r="Y65" s="102">
        <f t="shared" si="62"/>
        <v>44157</v>
      </c>
      <c r="Z65" s="102">
        <f t="shared" si="62"/>
        <v>44158</v>
      </c>
      <c r="AA65" s="102">
        <f t="shared" si="62"/>
        <v>44159</v>
      </c>
      <c r="AB65" s="102">
        <f t="shared" si="62"/>
        <v>44160</v>
      </c>
      <c r="AC65" s="102">
        <f t="shared" si="62"/>
        <v>44161</v>
      </c>
      <c r="AD65" s="102">
        <f t="shared" si="62"/>
        <v>44162</v>
      </c>
      <c r="AE65" s="102">
        <f t="shared" si="62"/>
        <v>44163</v>
      </c>
      <c r="AF65" s="102">
        <f t="shared" si="62"/>
        <v>44164</v>
      </c>
      <c r="AG65" s="102">
        <f t="shared" si="62"/>
        <v>44165</v>
      </c>
      <c r="AH65" s="102" t="str">
        <f t="shared" si="62"/>
        <v/>
      </c>
      <c r="AI65" s="102" t="str">
        <f t="shared" ref="AI65" si="63">IFERROR(IF(AH65+1&gt;$C$16,"",AH65+1),"")</f>
        <v/>
      </c>
      <c r="AJ65" s="102"/>
      <c r="AK65" s="102"/>
      <c r="AL65" s="102"/>
      <c r="AM65" s="102"/>
      <c r="AN65" s="102"/>
      <c r="AO65" s="102"/>
      <c r="AP65" s="77"/>
      <c r="AR65" s="77"/>
      <c r="AS65" s="77"/>
      <c r="AX65" s="77"/>
    </row>
    <row r="66" spans="2:50" ht="24" thickBot="1">
      <c r="B66" s="76" t="s">
        <v>12</v>
      </c>
      <c r="C66" s="103">
        <f>EOMONTH(C65,0)</f>
        <v>44165</v>
      </c>
      <c r="D66" s="214" t="s">
        <v>23</v>
      </c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6"/>
      <c r="AO66" s="77"/>
      <c r="AP66" s="77"/>
      <c r="AR66" s="77"/>
      <c r="AS66" s="77"/>
      <c r="AX66" s="77"/>
    </row>
    <row r="67" spans="2:50">
      <c r="D67" s="104">
        <f>IFERROR(DAY(D65),"")</f>
        <v>1</v>
      </c>
      <c r="E67" s="105">
        <f t="shared" ref="E67:AH67" si="64">IFERROR(DAY(E65),"")</f>
        <v>2</v>
      </c>
      <c r="F67" s="105">
        <f t="shared" si="64"/>
        <v>3</v>
      </c>
      <c r="G67" s="105">
        <f t="shared" si="64"/>
        <v>4</v>
      </c>
      <c r="H67" s="105">
        <f t="shared" si="64"/>
        <v>5</v>
      </c>
      <c r="I67" s="105">
        <f t="shared" si="64"/>
        <v>6</v>
      </c>
      <c r="J67" s="105">
        <f t="shared" si="64"/>
        <v>7</v>
      </c>
      <c r="K67" s="105">
        <f t="shared" si="64"/>
        <v>8</v>
      </c>
      <c r="L67" s="105">
        <f t="shared" si="64"/>
        <v>9</v>
      </c>
      <c r="M67" s="105">
        <f t="shared" si="64"/>
        <v>10</v>
      </c>
      <c r="N67" s="105">
        <f t="shared" si="64"/>
        <v>11</v>
      </c>
      <c r="O67" s="105">
        <f t="shared" si="64"/>
        <v>12</v>
      </c>
      <c r="P67" s="105">
        <f t="shared" si="64"/>
        <v>13</v>
      </c>
      <c r="Q67" s="105">
        <f t="shared" si="64"/>
        <v>14</v>
      </c>
      <c r="R67" s="105">
        <f t="shared" si="64"/>
        <v>15</v>
      </c>
      <c r="S67" s="105">
        <f t="shared" si="64"/>
        <v>16</v>
      </c>
      <c r="T67" s="105">
        <f t="shared" si="64"/>
        <v>17</v>
      </c>
      <c r="U67" s="105">
        <f t="shared" si="64"/>
        <v>18</v>
      </c>
      <c r="V67" s="105">
        <f t="shared" si="64"/>
        <v>19</v>
      </c>
      <c r="W67" s="105">
        <f t="shared" si="64"/>
        <v>20</v>
      </c>
      <c r="X67" s="105">
        <f t="shared" si="64"/>
        <v>21</v>
      </c>
      <c r="Y67" s="105">
        <f t="shared" si="64"/>
        <v>22</v>
      </c>
      <c r="Z67" s="105">
        <f t="shared" si="64"/>
        <v>23</v>
      </c>
      <c r="AA67" s="105">
        <f t="shared" si="64"/>
        <v>24</v>
      </c>
      <c r="AB67" s="105">
        <f t="shared" si="64"/>
        <v>25</v>
      </c>
      <c r="AC67" s="105">
        <f t="shared" si="64"/>
        <v>26</v>
      </c>
      <c r="AD67" s="105">
        <f t="shared" si="64"/>
        <v>27</v>
      </c>
      <c r="AE67" s="105">
        <f t="shared" si="64"/>
        <v>28</v>
      </c>
      <c r="AF67" s="105">
        <f t="shared" si="64"/>
        <v>29</v>
      </c>
      <c r="AG67" s="105">
        <f t="shared" si="64"/>
        <v>30</v>
      </c>
      <c r="AH67" s="106" t="str">
        <f t="shared" si="64"/>
        <v/>
      </c>
      <c r="AO67" s="77"/>
      <c r="AP67" s="77"/>
      <c r="AR67" s="77"/>
      <c r="AS67" s="77"/>
      <c r="AX67" s="77"/>
    </row>
    <row r="68" spans="2:50">
      <c r="D68" s="107">
        <f>IFERROR(WEEKDAY(D65,1),"")</f>
        <v>1</v>
      </c>
      <c r="E68" s="108">
        <f t="shared" ref="E68:AH68" si="65">IFERROR(WEEKDAY(E65,1),"")</f>
        <v>2</v>
      </c>
      <c r="F68" s="108">
        <f t="shared" si="65"/>
        <v>3</v>
      </c>
      <c r="G68" s="108">
        <f t="shared" si="65"/>
        <v>4</v>
      </c>
      <c r="H68" s="108">
        <f t="shared" si="65"/>
        <v>5</v>
      </c>
      <c r="I68" s="108">
        <f t="shared" si="65"/>
        <v>6</v>
      </c>
      <c r="J68" s="108">
        <f t="shared" si="65"/>
        <v>7</v>
      </c>
      <c r="K68" s="108">
        <f t="shared" si="65"/>
        <v>1</v>
      </c>
      <c r="L68" s="108">
        <f t="shared" si="65"/>
        <v>2</v>
      </c>
      <c r="M68" s="108">
        <f t="shared" si="65"/>
        <v>3</v>
      </c>
      <c r="N68" s="108">
        <f t="shared" si="65"/>
        <v>4</v>
      </c>
      <c r="O68" s="108">
        <f t="shared" si="65"/>
        <v>5</v>
      </c>
      <c r="P68" s="108">
        <f t="shared" si="65"/>
        <v>6</v>
      </c>
      <c r="Q68" s="108">
        <f t="shared" si="65"/>
        <v>7</v>
      </c>
      <c r="R68" s="108">
        <f t="shared" si="65"/>
        <v>1</v>
      </c>
      <c r="S68" s="108">
        <f t="shared" si="65"/>
        <v>2</v>
      </c>
      <c r="T68" s="108">
        <f t="shared" si="65"/>
        <v>3</v>
      </c>
      <c r="U68" s="108">
        <f t="shared" si="65"/>
        <v>4</v>
      </c>
      <c r="V68" s="108">
        <f t="shared" si="65"/>
        <v>5</v>
      </c>
      <c r="W68" s="108">
        <f t="shared" si="65"/>
        <v>6</v>
      </c>
      <c r="X68" s="108">
        <f t="shared" si="65"/>
        <v>7</v>
      </c>
      <c r="Y68" s="108">
        <f t="shared" si="65"/>
        <v>1</v>
      </c>
      <c r="Z68" s="108">
        <f t="shared" si="65"/>
        <v>2</v>
      </c>
      <c r="AA68" s="108">
        <f t="shared" si="65"/>
        <v>3</v>
      </c>
      <c r="AB68" s="108">
        <f t="shared" si="65"/>
        <v>4</v>
      </c>
      <c r="AC68" s="108">
        <f t="shared" si="65"/>
        <v>5</v>
      </c>
      <c r="AD68" s="108">
        <f t="shared" si="65"/>
        <v>6</v>
      </c>
      <c r="AE68" s="108">
        <f t="shared" si="65"/>
        <v>7</v>
      </c>
      <c r="AF68" s="108">
        <f t="shared" si="65"/>
        <v>1</v>
      </c>
      <c r="AG68" s="108">
        <f t="shared" si="65"/>
        <v>2</v>
      </c>
      <c r="AH68" s="109" t="str">
        <f t="shared" si="65"/>
        <v/>
      </c>
      <c r="AI68" s="150" t="s">
        <v>30</v>
      </c>
      <c r="AJ68" s="125" t="s">
        <v>90</v>
      </c>
      <c r="AK68" s="126" t="s">
        <v>91</v>
      </c>
      <c r="AL68" s="110" t="s">
        <v>92</v>
      </c>
      <c r="AM68" s="127" t="s">
        <v>93</v>
      </c>
      <c r="AN68" s="142" t="s">
        <v>102</v>
      </c>
      <c r="AO68" s="114" t="s">
        <v>33</v>
      </c>
      <c r="AP68" s="115" t="s">
        <v>28</v>
      </c>
      <c r="AQ68" s="116" t="s">
        <v>32</v>
      </c>
      <c r="AR68" s="128" t="s">
        <v>94</v>
      </c>
      <c r="AS68" s="118" t="s">
        <v>0</v>
      </c>
      <c r="AT68" s="119" t="s">
        <v>1</v>
      </c>
      <c r="AU68" s="145" t="s">
        <v>114</v>
      </c>
      <c r="AV68" s="120" t="s">
        <v>35</v>
      </c>
      <c r="AW68" s="146" t="s">
        <v>116</v>
      </c>
      <c r="AX68" s="121" t="s">
        <v>71</v>
      </c>
    </row>
    <row r="69" spans="2:50" ht="15.75" thickBot="1">
      <c r="D69" s="122" t="str">
        <f t="array" ref="D69">IF(OR(D68=1),"",IFERROR(INDEX(Tableau1[],MATCH(1,(PLANNING!D65&gt;=Tableau1[Date début])*(Tableau1[Date de fin]&gt;=PLANNING!D65)*(Tableau1[Nom]=PLANNING!$S$2),0),5),""))</f>
        <v/>
      </c>
      <c r="E69" s="123" t="str">
        <f t="array" ref="E69">IF(OR(E68=1),"",IFERROR(INDEX(Tableau1[],MATCH(1,(PLANNING!E65&gt;=Tableau1[Date début])*(Tableau1[Date de fin]&gt;=PLANNING!E65)*(Tableau1[Nom]=PLANNING!$S$2),0),5),""))</f>
        <v/>
      </c>
      <c r="F69" s="123" t="str">
        <f t="array" ref="F69">IF(OR(F68=1),"",IFERROR(INDEX(Tableau1[],MATCH(1,(PLANNING!F65&gt;=Tableau1[Date début])*(Tableau1[Date de fin]&gt;=PLANNING!F65)*(Tableau1[Nom]=PLANNING!$S$2),0),5),""))</f>
        <v/>
      </c>
      <c r="G69" s="123" t="str">
        <f t="array" ref="G69">IF(OR(G68=1),"",IFERROR(INDEX(Tableau1[],MATCH(1,(PLANNING!G65&gt;=Tableau1[Date début])*(Tableau1[Date de fin]&gt;=PLANNING!G65)*(Tableau1[Nom]=PLANNING!$S$2),0),5),""))</f>
        <v/>
      </c>
      <c r="H69" s="123" t="str">
        <f t="array" ref="H69">IF(OR(H68=1),"",IFERROR(INDEX(Tableau1[],MATCH(1,(PLANNING!H65&gt;=Tableau1[Date début])*(Tableau1[Date de fin]&gt;=PLANNING!H65)*(Tableau1[Nom]=PLANNING!$S$2),0),5),""))</f>
        <v/>
      </c>
      <c r="I69" s="123" t="str">
        <f t="array" ref="I69">IF(OR(I68=1),"",IFERROR(INDEX(Tableau1[],MATCH(1,(PLANNING!I65&gt;=Tableau1[Date début])*(Tableau1[Date de fin]&gt;=PLANNING!I65)*(Tableau1[Nom]=PLANNING!$S$2),0),5),""))</f>
        <v/>
      </c>
      <c r="J69" s="123" t="str">
        <f t="array" ref="J69">IF(OR(J68=1),"",IFERROR(INDEX(Tableau1[],MATCH(1,(PLANNING!J65&gt;=Tableau1[Date début])*(Tableau1[Date de fin]&gt;=PLANNING!J65)*(Tableau1[Nom]=PLANNING!$S$2),0),5),""))</f>
        <v/>
      </c>
      <c r="K69" s="123" t="str">
        <f t="array" ref="K69">IF(OR(K68=1),"",IFERROR(INDEX(Tableau1[],MATCH(1,(PLANNING!K65&gt;=Tableau1[Date début])*(Tableau1[Date de fin]&gt;=PLANNING!K65)*(Tableau1[Nom]=PLANNING!$S$2),0),5),""))</f>
        <v/>
      </c>
      <c r="L69" s="123" t="str">
        <f t="array" ref="L69">IF(OR(L68=1),"",IFERROR(INDEX(Tableau1[],MATCH(1,(PLANNING!L65&gt;=Tableau1[Date début])*(Tableau1[Date de fin]&gt;=PLANNING!L65)*(Tableau1[Nom]=PLANNING!$S$2),0),5),""))</f>
        <v/>
      </c>
      <c r="M69" s="123" t="str">
        <f t="array" ref="M69">IF(OR(M68=1),"",IFERROR(INDEX(Tableau1[],MATCH(1,(PLANNING!M65&gt;=Tableau1[Date début])*(Tableau1[Date de fin]&gt;=PLANNING!M65)*(Tableau1[Nom]=PLANNING!$S$2),0),5),""))</f>
        <v/>
      </c>
      <c r="N69" s="123" t="str">
        <f t="array" ref="N69">IF(OR(N68=1),"",IFERROR(INDEX(Tableau1[],MATCH(1,(PLANNING!N65&gt;=Tableau1[Date début])*(Tableau1[Date de fin]&gt;=PLANNING!N65)*(Tableau1[Nom]=PLANNING!$S$2),0),5),""))</f>
        <v/>
      </c>
      <c r="O69" s="123" t="str">
        <f t="array" ref="O69">IF(OR(O68=1),"",IFERROR(INDEX(Tableau1[],MATCH(1,(PLANNING!O65&gt;=Tableau1[Date début])*(Tableau1[Date de fin]&gt;=PLANNING!O65)*(Tableau1[Nom]=PLANNING!$S$2),0),5),""))</f>
        <v/>
      </c>
      <c r="P69" s="123" t="str">
        <f t="array" ref="P69">IF(OR(P68=1),"",IFERROR(INDEX(Tableau1[],MATCH(1,(PLANNING!P65&gt;=Tableau1[Date début])*(Tableau1[Date de fin]&gt;=PLANNING!P65)*(Tableau1[Nom]=PLANNING!$S$2),0),5),""))</f>
        <v/>
      </c>
      <c r="Q69" s="123" t="str">
        <f t="array" ref="Q69">IF(OR(Q68=1),"",IFERROR(INDEX(Tableau1[],MATCH(1,(PLANNING!Q65&gt;=Tableau1[Date début])*(Tableau1[Date de fin]&gt;=PLANNING!Q65)*(Tableau1[Nom]=PLANNING!$S$2),0),5),""))</f>
        <v/>
      </c>
      <c r="R69" s="123" t="str">
        <f t="array" ref="R69">IF(OR(R68=1),"",IFERROR(INDEX(Tableau1[],MATCH(1,(PLANNING!R65&gt;=Tableau1[Date début])*(Tableau1[Date de fin]&gt;=PLANNING!R65)*(Tableau1[Nom]=PLANNING!$S$2),0),5),""))</f>
        <v/>
      </c>
      <c r="S69" s="123" t="str">
        <f t="array" ref="S69">IF(OR(S68=1),"",IFERROR(INDEX(Tableau1[],MATCH(1,(PLANNING!S65&gt;=Tableau1[Date début])*(Tableau1[Date de fin]&gt;=PLANNING!S65)*(Tableau1[Nom]=PLANNING!$S$2),0),5),""))</f>
        <v/>
      </c>
      <c r="T69" s="123" t="str">
        <f t="array" ref="T69">IF(OR(T68=1),"",IFERROR(INDEX(Tableau1[],MATCH(1,(PLANNING!T65&gt;=Tableau1[Date début])*(Tableau1[Date de fin]&gt;=PLANNING!T65)*(Tableau1[Nom]=PLANNING!$S$2),0),5),""))</f>
        <v/>
      </c>
      <c r="U69" s="123" t="str">
        <f t="array" ref="U69">IF(OR(U68=1),"",IFERROR(INDEX(Tableau1[],MATCH(1,(PLANNING!U65&gt;=Tableau1[Date début])*(Tableau1[Date de fin]&gt;=PLANNING!U65)*(Tableau1[Nom]=PLANNING!$S$2),0),5),""))</f>
        <v/>
      </c>
      <c r="V69" s="123" t="str">
        <f t="array" ref="V69">IF(OR(V68=1),"",IFERROR(INDEX(Tableau1[],MATCH(1,(PLANNING!V65&gt;=Tableau1[Date début])*(Tableau1[Date de fin]&gt;=PLANNING!V65)*(Tableau1[Nom]=PLANNING!$S$2),0),5),""))</f>
        <v/>
      </c>
      <c r="W69" s="123" t="str">
        <f t="array" ref="W69">IF(OR(W68=1),"",IFERROR(INDEX(Tableau1[],MATCH(1,(PLANNING!W65&gt;=Tableau1[Date début])*(Tableau1[Date de fin]&gt;=PLANNING!W65)*(Tableau1[Nom]=PLANNING!$S$2),0),5),""))</f>
        <v/>
      </c>
      <c r="X69" s="123" t="str">
        <f t="array" ref="X69">IF(OR(X68=1),"",IFERROR(INDEX(Tableau1[],MATCH(1,(PLANNING!X65&gt;=Tableau1[Date début])*(Tableau1[Date de fin]&gt;=PLANNING!X65)*(Tableau1[Nom]=PLANNING!$S$2),0),5),""))</f>
        <v/>
      </c>
      <c r="Y69" s="123" t="str">
        <f t="array" ref="Y69">IF(OR(Y68=1),"",IFERROR(INDEX(Tableau1[],MATCH(1,(PLANNING!Y65&gt;=Tableau1[Date début])*(Tableau1[Date de fin]&gt;=PLANNING!Y65)*(Tableau1[Nom]=PLANNING!$S$2),0),5),""))</f>
        <v/>
      </c>
      <c r="Z69" s="123" t="str">
        <f t="array" ref="Z69">IF(OR(Z68=1),"",IFERROR(INDEX(Tableau1[],MATCH(1,(PLANNING!Z65&gt;=Tableau1[Date début])*(Tableau1[Date de fin]&gt;=PLANNING!Z65)*(Tableau1[Nom]=PLANNING!$S$2),0),5),""))</f>
        <v/>
      </c>
      <c r="AA69" s="123" t="str">
        <f t="array" ref="AA69">IF(OR(AA68=1),"",IFERROR(INDEX(Tableau1[],MATCH(1,(PLANNING!AA65&gt;=Tableau1[Date début])*(Tableau1[Date de fin]&gt;=PLANNING!AA65)*(Tableau1[Nom]=PLANNING!$S$2),0),5),""))</f>
        <v/>
      </c>
      <c r="AB69" s="123" t="str">
        <f t="array" ref="AB69">IF(OR(AB68=1),"",IFERROR(INDEX(Tableau1[],MATCH(1,(PLANNING!AB65&gt;=Tableau1[Date début])*(Tableau1[Date de fin]&gt;=PLANNING!AB65)*(Tableau1[Nom]=PLANNING!$S$2),0),5),""))</f>
        <v/>
      </c>
      <c r="AC69" s="123" t="str">
        <f t="array" ref="AC69">IF(OR(AC68=1),"",IFERROR(INDEX(Tableau1[],MATCH(1,(PLANNING!AC65&gt;=Tableau1[Date début])*(Tableau1[Date de fin]&gt;=PLANNING!AC65)*(Tableau1[Nom]=PLANNING!$S$2),0),5),""))</f>
        <v/>
      </c>
      <c r="AD69" s="123" t="str">
        <f t="array" ref="AD69">IF(OR(AD68=1),"",IFERROR(INDEX(Tableau1[],MATCH(1,(PLANNING!AD65&gt;=Tableau1[Date début])*(Tableau1[Date de fin]&gt;=PLANNING!AD65)*(Tableau1[Nom]=PLANNING!$S$2),0),5),""))</f>
        <v/>
      </c>
      <c r="AE69" s="123" t="str">
        <f t="array" ref="AE69">IF(OR(AE68=1),"",IFERROR(INDEX(Tableau1[],MATCH(1,(PLANNING!AE65&gt;=Tableau1[Date début])*(Tableau1[Date de fin]&gt;=PLANNING!AE65)*(Tableau1[Nom]=PLANNING!$S$2),0),5),""))</f>
        <v/>
      </c>
      <c r="AF69" s="123" t="str">
        <f t="array" ref="AF69">IF(OR(AF68=1),"",IFERROR(INDEX(Tableau1[],MATCH(1,(PLANNING!AF65&gt;=Tableau1[Date début])*(Tableau1[Date de fin]&gt;=PLANNING!AF65)*(Tableau1[Nom]=PLANNING!$S$2),0),5),""))</f>
        <v/>
      </c>
      <c r="AG69" s="123" t="str">
        <f t="array" ref="AG69">IF(OR(AG68=1),"",IFERROR(INDEX(Tableau1[],MATCH(1,(PLANNING!AG65&gt;=Tableau1[Date début])*(Tableau1[Date de fin]&gt;=PLANNING!AG65)*(Tableau1[Nom]=PLANNING!$S$2),0),5),""))</f>
        <v/>
      </c>
      <c r="AH69" s="123" t="str">
        <f t="array" ref="AH69">IF(OR(AH68=1),"",IFERROR(INDEX(Tableau1[],MATCH(1,(PLANNING!AH65&gt;=Tableau1[Date début])*(Tableau1[Date de fin]&gt;=PLANNING!AH65)*(Tableau1[Nom]=PLANNING!$S$2),0),5),""))</f>
        <v/>
      </c>
      <c r="AI69" s="77">
        <f t="shared" ref="AI69:AW69" si="66">COUNTIF($D$69:$AH$69,AI68)</f>
        <v>0</v>
      </c>
      <c r="AJ69" s="77">
        <f t="shared" si="66"/>
        <v>0</v>
      </c>
      <c r="AK69" s="77">
        <f t="shared" si="66"/>
        <v>0</v>
      </c>
      <c r="AL69" s="77">
        <f t="shared" si="66"/>
        <v>0</v>
      </c>
      <c r="AM69" s="77">
        <f t="shared" si="66"/>
        <v>0</v>
      </c>
      <c r="AN69" s="77">
        <f t="shared" si="66"/>
        <v>0</v>
      </c>
      <c r="AO69" s="77">
        <f t="shared" si="66"/>
        <v>0</v>
      </c>
      <c r="AP69" s="77">
        <f t="shared" si="66"/>
        <v>0</v>
      </c>
      <c r="AQ69" s="77">
        <f t="shared" si="66"/>
        <v>0</v>
      </c>
      <c r="AR69" s="77">
        <f t="shared" si="66"/>
        <v>0</v>
      </c>
      <c r="AS69" s="77">
        <f t="shared" si="66"/>
        <v>0</v>
      </c>
      <c r="AT69" s="77">
        <f t="shared" si="66"/>
        <v>0</v>
      </c>
      <c r="AU69" s="77">
        <f t="shared" si="66"/>
        <v>0</v>
      </c>
      <c r="AV69" s="77">
        <f t="shared" si="66"/>
        <v>0</v>
      </c>
      <c r="AW69" s="77">
        <f t="shared" si="66"/>
        <v>0</v>
      </c>
      <c r="AX69" s="77">
        <f>CALENDRIER!AC29</f>
        <v>2</v>
      </c>
    </row>
    <row r="70" spans="2:50" ht="57" hidden="1" thickBot="1">
      <c r="B70" s="76" t="s">
        <v>11</v>
      </c>
      <c r="C70" s="101">
        <f>DATE($D$2,MONTH(1&amp;"/"&amp;D71),1)</f>
        <v>44166</v>
      </c>
      <c r="D70" s="102">
        <f>C70</f>
        <v>44166</v>
      </c>
      <c r="E70" s="102">
        <f>IFERROR(IF(D70+1&gt;$C$71,"",D70+1),"")</f>
        <v>44167</v>
      </c>
      <c r="F70" s="102">
        <f t="shared" ref="F70:AH70" si="67">IFERROR(IF(E70+1&gt;$C$71,"",E70+1),"")</f>
        <v>44168</v>
      </c>
      <c r="G70" s="102">
        <f t="shared" si="67"/>
        <v>44169</v>
      </c>
      <c r="H70" s="102">
        <f t="shared" si="67"/>
        <v>44170</v>
      </c>
      <c r="I70" s="102">
        <f t="shared" si="67"/>
        <v>44171</v>
      </c>
      <c r="J70" s="102">
        <f t="shared" si="67"/>
        <v>44172</v>
      </c>
      <c r="K70" s="102">
        <f t="shared" si="67"/>
        <v>44173</v>
      </c>
      <c r="L70" s="102">
        <f t="shared" si="67"/>
        <v>44174</v>
      </c>
      <c r="M70" s="102">
        <f t="shared" si="67"/>
        <v>44175</v>
      </c>
      <c r="N70" s="102">
        <f t="shared" si="67"/>
        <v>44176</v>
      </c>
      <c r="O70" s="102">
        <f t="shared" si="67"/>
        <v>44177</v>
      </c>
      <c r="P70" s="102">
        <f t="shared" si="67"/>
        <v>44178</v>
      </c>
      <c r="Q70" s="102">
        <f t="shared" si="67"/>
        <v>44179</v>
      </c>
      <c r="R70" s="102">
        <f t="shared" si="67"/>
        <v>44180</v>
      </c>
      <c r="S70" s="102">
        <f t="shared" si="67"/>
        <v>44181</v>
      </c>
      <c r="T70" s="102">
        <f t="shared" si="67"/>
        <v>44182</v>
      </c>
      <c r="U70" s="102">
        <f t="shared" si="67"/>
        <v>44183</v>
      </c>
      <c r="V70" s="102">
        <f t="shared" si="67"/>
        <v>44184</v>
      </c>
      <c r="W70" s="102">
        <f t="shared" si="67"/>
        <v>44185</v>
      </c>
      <c r="X70" s="102">
        <f t="shared" si="67"/>
        <v>44186</v>
      </c>
      <c r="Y70" s="102">
        <f t="shared" si="67"/>
        <v>44187</v>
      </c>
      <c r="Z70" s="102">
        <f t="shared" si="67"/>
        <v>44188</v>
      </c>
      <c r="AA70" s="102">
        <f t="shared" si="67"/>
        <v>44189</v>
      </c>
      <c r="AB70" s="102">
        <f t="shared" si="67"/>
        <v>44190</v>
      </c>
      <c r="AC70" s="102">
        <f t="shared" si="67"/>
        <v>44191</v>
      </c>
      <c r="AD70" s="102">
        <f t="shared" si="67"/>
        <v>44192</v>
      </c>
      <c r="AE70" s="102">
        <f t="shared" si="67"/>
        <v>44193</v>
      </c>
      <c r="AF70" s="102">
        <f t="shared" si="67"/>
        <v>44194</v>
      </c>
      <c r="AG70" s="102">
        <f t="shared" si="67"/>
        <v>44195</v>
      </c>
      <c r="AH70" s="102">
        <f t="shared" si="67"/>
        <v>44196</v>
      </c>
      <c r="AI70" s="102" t="str">
        <f t="shared" ref="AI70" si="68">IFERROR(IF(AH70+1&gt;$C$16,"",AH70+1),"")</f>
        <v/>
      </c>
      <c r="AJ70" s="102"/>
      <c r="AK70" s="102"/>
      <c r="AL70" s="102"/>
      <c r="AM70" s="102"/>
      <c r="AN70" s="102"/>
      <c r="AO70" s="102"/>
      <c r="AP70" s="77"/>
      <c r="AR70" s="77"/>
      <c r="AS70" s="77"/>
      <c r="AX70" s="77"/>
    </row>
    <row r="71" spans="2:50" ht="24" thickBot="1">
      <c r="B71" s="76" t="s">
        <v>12</v>
      </c>
      <c r="C71" s="103">
        <f>EOMONTH(C70,0)</f>
        <v>44196</v>
      </c>
      <c r="D71" s="214" t="s">
        <v>24</v>
      </c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6"/>
      <c r="AO71" s="77"/>
      <c r="AP71" s="77"/>
      <c r="AR71" s="77"/>
      <c r="AS71" s="77"/>
      <c r="AX71" s="77"/>
    </row>
    <row r="72" spans="2:50">
      <c r="D72" s="104">
        <f>IFERROR(DAY(D70),"")</f>
        <v>1</v>
      </c>
      <c r="E72" s="105">
        <f t="shared" ref="E72:AH72" si="69">IFERROR(DAY(E70),"")</f>
        <v>2</v>
      </c>
      <c r="F72" s="105">
        <f t="shared" si="69"/>
        <v>3</v>
      </c>
      <c r="G72" s="105">
        <f t="shared" si="69"/>
        <v>4</v>
      </c>
      <c r="H72" s="105">
        <f t="shared" si="69"/>
        <v>5</v>
      </c>
      <c r="I72" s="105">
        <f t="shared" si="69"/>
        <v>6</v>
      </c>
      <c r="J72" s="105">
        <f t="shared" si="69"/>
        <v>7</v>
      </c>
      <c r="K72" s="105">
        <f t="shared" si="69"/>
        <v>8</v>
      </c>
      <c r="L72" s="105">
        <f t="shared" si="69"/>
        <v>9</v>
      </c>
      <c r="M72" s="105">
        <f t="shared" si="69"/>
        <v>10</v>
      </c>
      <c r="N72" s="105">
        <f t="shared" si="69"/>
        <v>11</v>
      </c>
      <c r="O72" s="105">
        <f t="shared" si="69"/>
        <v>12</v>
      </c>
      <c r="P72" s="105">
        <f t="shared" si="69"/>
        <v>13</v>
      </c>
      <c r="Q72" s="105">
        <f t="shared" si="69"/>
        <v>14</v>
      </c>
      <c r="R72" s="105">
        <f t="shared" si="69"/>
        <v>15</v>
      </c>
      <c r="S72" s="105">
        <f t="shared" si="69"/>
        <v>16</v>
      </c>
      <c r="T72" s="105">
        <f t="shared" si="69"/>
        <v>17</v>
      </c>
      <c r="U72" s="105">
        <f t="shared" si="69"/>
        <v>18</v>
      </c>
      <c r="V72" s="105">
        <f t="shared" si="69"/>
        <v>19</v>
      </c>
      <c r="W72" s="105">
        <f t="shared" si="69"/>
        <v>20</v>
      </c>
      <c r="X72" s="105">
        <f t="shared" si="69"/>
        <v>21</v>
      </c>
      <c r="Y72" s="105">
        <f t="shared" si="69"/>
        <v>22</v>
      </c>
      <c r="Z72" s="105">
        <f t="shared" si="69"/>
        <v>23</v>
      </c>
      <c r="AA72" s="105">
        <f t="shared" si="69"/>
        <v>24</v>
      </c>
      <c r="AB72" s="105">
        <f t="shared" si="69"/>
        <v>25</v>
      </c>
      <c r="AC72" s="105">
        <f t="shared" si="69"/>
        <v>26</v>
      </c>
      <c r="AD72" s="105">
        <f t="shared" si="69"/>
        <v>27</v>
      </c>
      <c r="AE72" s="105">
        <f t="shared" si="69"/>
        <v>28</v>
      </c>
      <c r="AF72" s="105">
        <f t="shared" si="69"/>
        <v>29</v>
      </c>
      <c r="AG72" s="105">
        <f t="shared" si="69"/>
        <v>30</v>
      </c>
      <c r="AH72" s="106">
        <f t="shared" si="69"/>
        <v>31</v>
      </c>
      <c r="AO72" s="77"/>
      <c r="AP72" s="77"/>
      <c r="AR72" s="77"/>
      <c r="AS72" s="77"/>
      <c r="AX72" s="77"/>
    </row>
    <row r="73" spans="2:50">
      <c r="D73" s="107">
        <f>IFERROR(WEEKDAY(D70,1),"")</f>
        <v>3</v>
      </c>
      <c r="E73" s="108">
        <f t="shared" ref="E73:AH73" si="70">IFERROR(WEEKDAY(E70,1),"")</f>
        <v>4</v>
      </c>
      <c r="F73" s="108">
        <f t="shared" si="70"/>
        <v>5</v>
      </c>
      <c r="G73" s="108">
        <f t="shared" si="70"/>
        <v>6</v>
      </c>
      <c r="H73" s="108">
        <f t="shared" si="70"/>
        <v>7</v>
      </c>
      <c r="I73" s="108">
        <f t="shared" si="70"/>
        <v>1</v>
      </c>
      <c r="J73" s="108">
        <f t="shared" si="70"/>
        <v>2</v>
      </c>
      <c r="K73" s="108">
        <f t="shared" si="70"/>
        <v>3</v>
      </c>
      <c r="L73" s="108">
        <f t="shared" si="70"/>
        <v>4</v>
      </c>
      <c r="M73" s="108">
        <f t="shared" si="70"/>
        <v>5</v>
      </c>
      <c r="N73" s="108">
        <f t="shared" si="70"/>
        <v>6</v>
      </c>
      <c r="O73" s="108">
        <f t="shared" si="70"/>
        <v>7</v>
      </c>
      <c r="P73" s="108">
        <f t="shared" si="70"/>
        <v>1</v>
      </c>
      <c r="Q73" s="108">
        <f t="shared" si="70"/>
        <v>2</v>
      </c>
      <c r="R73" s="108">
        <f t="shared" si="70"/>
        <v>3</v>
      </c>
      <c r="S73" s="108">
        <f t="shared" si="70"/>
        <v>4</v>
      </c>
      <c r="T73" s="108">
        <f t="shared" si="70"/>
        <v>5</v>
      </c>
      <c r="U73" s="108">
        <f t="shared" si="70"/>
        <v>6</v>
      </c>
      <c r="V73" s="108">
        <f t="shared" si="70"/>
        <v>7</v>
      </c>
      <c r="W73" s="108">
        <f t="shared" si="70"/>
        <v>1</v>
      </c>
      <c r="X73" s="108">
        <f t="shared" si="70"/>
        <v>2</v>
      </c>
      <c r="Y73" s="108">
        <f t="shared" si="70"/>
        <v>3</v>
      </c>
      <c r="Z73" s="108">
        <f t="shared" si="70"/>
        <v>4</v>
      </c>
      <c r="AA73" s="108">
        <f t="shared" si="70"/>
        <v>5</v>
      </c>
      <c r="AB73" s="108">
        <f t="shared" si="70"/>
        <v>6</v>
      </c>
      <c r="AC73" s="108">
        <f t="shared" si="70"/>
        <v>7</v>
      </c>
      <c r="AD73" s="108">
        <f t="shared" si="70"/>
        <v>1</v>
      </c>
      <c r="AE73" s="108">
        <f t="shared" si="70"/>
        <v>2</v>
      </c>
      <c r="AF73" s="108">
        <f t="shared" si="70"/>
        <v>3</v>
      </c>
      <c r="AG73" s="108">
        <f t="shared" si="70"/>
        <v>4</v>
      </c>
      <c r="AH73" s="109">
        <f t="shared" si="70"/>
        <v>5</v>
      </c>
      <c r="AI73" s="150" t="s">
        <v>30</v>
      </c>
      <c r="AJ73" s="125" t="s">
        <v>90</v>
      </c>
      <c r="AK73" s="126" t="s">
        <v>91</v>
      </c>
      <c r="AL73" s="110" t="s">
        <v>92</v>
      </c>
      <c r="AM73" s="127" t="s">
        <v>93</v>
      </c>
      <c r="AN73" s="142" t="s">
        <v>102</v>
      </c>
      <c r="AO73" s="114" t="s">
        <v>33</v>
      </c>
      <c r="AP73" s="115" t="s">
        <v>28</v>
      </c>
      <c r="AQ73" s="116" t="s">
        <v>32</v>
      </c>
      <c r="AR73" s="128" t="s">
        <v>94</v>
      </c>
      <c r="AS73" s="118" t="s">
        <v>0</v>
      </c>
      <c r="AT73" s="119" t="s">
        <v>1</v>
      </c>
      <c r="AU73" s="145" t="s">
        <v>114</v>
      </c>
      <c r="AV73" s="120" t="s">
        <v>35</v>
      </c>
      <c r="AW73" s="146" t="s">
        <v>116</v>
      </c>
      <c r="AX73" s="121" t="s">
        <v>71</v>
      </c>
    </row>
    <row r="74" spans="2:50" ht="15.75" thickBot="1">
      <c r="D74" s="122" t="str">
        <f t="array" ref="D74">IF(OR(D73=1),"",IFERROR(INDEX(Tableau1[],MATCH(1,(PLANNING!D70&gt;=Tableau1[Date début])*(Tableau1[Date de fin]&gt;=PLANNING!D70)*(Tableau1[Nom]=PLANNING!$S$2),0),5),""))</f>
        <v/>
      </c>
      <c r="E74" s="123" t="str">
        <f t="array" ref="E74">IF(OR(E73=1),"",IFERROR(INDEX(Tableau1[],MATCH(1,(PLANNING!E70&gt;=Tableau1[Date début])*(Tableau1[Date de fin]&gt;=PLANNING!E70)*(Tableau1[Nom]=PLANNING!$S$2),0),5),""))</f>
        <v/>
      </c>
      <c r="F74" s="123" t="str">
        <f t="array" ref="F74">IF(OR(F73=1),"",IFERROR(INDEX(Tableau1[],MATCH(1,(PLANNING!F70&gt;=Tableau1[Date début])*(Tableau1[Date de fin]&gt;=PLANNING!F70)*(Tableau1[Nom]=PLANNING!$S$2),0),5),""))</f>
        <v/>
      </c>
      <c r="G74" s="123" t="str">
        <f t="array" ref="G74">IF(OR(G73=1),"",IFERROR(INDEX(Tableau1[],MATCH(1,(PLANNING!G70&gt;=Tableau1[Date début])*(Tableau1[Date de fin]&gt;=PLANNING!G70)*(Tableau1[Nom]=PLANNING!$S$2),0),5),""))</f>
        <v/>
      </c>
      <c r="H74" s="123" t="str">
        <f t="array" ref="H74">IF(OR(H73=1),"",IFERROR(INDEX(Tableau1[],MATCH(1,(PLANNING!H70&gt;=Tableau1[Date début])*(Tableau1[Date de fin]&gt;=PLANNING!H70)*(Tableau1[Nom]=PLANNING!$S$2),0),5),""))</f>
        <v/>
      </c>
      <c r="I74" s="123" t="str">
        <f t="array" ref="I74">IF(OR(I73=1),"",IFERROR(INDEX(Tableau1[],MATCH(1,(PLANNING!I70&gt;=Tableau1[Date début])*(Tableau1[Date de fin]&gt;=PLANNING!I70)*(Tableau1[Nom]=PLANNING!$S$2),0),5),""))</f>
        <v/>
      </c>
      <c r="J74" s="123" t="str">
        <f t="array" ref="J74">IF(OR(J73=1),"",IFERROR(INDEX(Tableau1[],MATCH(1,(PLANNING!J70&gt;=Tableau1[Date début])*(Tableau1[Date de fin]&gt;=PLANNING!J70)*(Tableau1[Nom]=PLANNING!$S$2),0),5),""))</f>
        <v/>
      </c>
      <c r="K74" s="123" t="str">
        <f t="array" ref="K74">IF(OR(K73=1),"",IFERROR(INDEX(Tableau1[],MATCH(1,(PLANNING!K70&gt;=Tableau1[Date début])*(Tableau1[Date de fin]&gt;=PLANNING!K70)*(Tableau1[Nom]=PLANNING!$S$2),0),5),""))</f>
        <v/>
      </c>
      <c r="L74" s="123" t="str">
        <f t="array" ref="L74">IF(OR(L73=1),"",IFERROR(INDEX(Tableau1[],MATCH(1,(PLANNING!L70&gt;=Tableau1[Date début])*(Tableau1[Date de fin]&gt;=PLANNING!L70)*(Tableau1[Nom]=PLANNING!$S$2),0),5),""))</f>
        <v/>
      </c>
      <c r="M74" s="123" t="str">
        <f t="array" ref="M74">IF(OR(M73=1),"",IFERROR(INDEX(Tableau1[],MATCH(1,(PLANNING!M70&gt;=Tableau1[Date début])*(Tableau1[Date de fin]&gt;=PLANNING!M70)*(Tableau1[Nom]=PLANNING!$S$2),0),5),""))</f>
        <v/>
      </c>
      <c r="N74" s="123" t="str">
        <f t="array" ref="N74">IF(OR(N73=1),"",IFERROR(INDEX(Tableau1[],MATCH(1,(PLANNING!N70&gt;=Tableau1[Date début])*(Tableau1[Date de fin]&gt;=PLANNING!N70)*(Tableau1[Nom]=PLANNING!$S$2),0),5),""))</f>
        <v/>
      </c>
      <c r="O74" s="123" t="str">
        <f t="array" ref="O74">IF(OR(O73=1),"",IFERROR(INDEX(Tableau1[],MATCH(1,(PLANNING!O70&gt;=Tableau1[Date début])*(Tableau1[Date de fin]&gt;=PLANNING!O70)*(Tableau1[Nom]=PLANNING!$S$2),0),5),""))</f>
        <v/>
      </c>
      <c r="P74" s="123" t="str">
        <f t="array" ref="P74">IF(OR(P73=1),"",IFERROR(INDEX(Tableau1[],MATCH(1,(PLANNING!P70&gt;=Tableau1[Date début])*(Tableau1[Date de fin]&gt;=PLANNING!P70)*(Tableau1[Nom]=PLANNING!$S$2),0),5),""))</f>
        <v/>
      </c>
      <c r="Q74" s="123" t="str">
        <f t="array" ref="Q74">IF(OR(Q73=1),"",IFERROR(INDEX(Tableau1[],MATCH(1,(PLANNING!Q70&gt;=Tableau1[Date début])*(Tableau1[Date de fin]&gt;=PLANNING!Q70)*(Tableau1[Nom]=PLANNING!$S$2),0),5),""))</f>
        <v/>
      </c>
      <c r="R74" s="123" t="str">
        <f t="array" ref="R74">IF(OR(R73=1),"",IFERROR(INDEX(Tableau1[],MATCH(1,(PLANNING!R70&gt;=Tableau1[Date début])*(Tableau1[Date de fin]&gt;=PLANNING!R70)*(Tableau1[Nom]=PLANNING!$S$2),0),5),""))</f>
        <v/>
      </c>
      <c r="S74" s="123" t="str">
        <f t="array" ref="S74">IF(OR(S73=1),"",IFERROR(INDEX(Tableau1[],MATCH(1,(PLANNING!S70&gt;=Tableau1[Date début])*(Tableau1[Date de fin]&gt;=PLANNING!S70)*(Tableau1[Nom]=PLANNING!$S$2),0),5),""))</f>
        <v/>
      </c>
      <c r="T74" s="123" t="str">
        <f t="array" ref="T74">IF(OR(T73=1),"",IFERROR(INDEX(Tableau1[],MATCH(1,(PLANNING!T70&gt;=Tableau1[Date début])*(Tableau1[Date de fin]&gt;=PLANNING!T70)*(Tableau1[Nom]=PLANNING!$S$2),0),5),""))</f>
        <v/>
      </c>
      <c r="U74" s="123" t="str">
        <f t="array" ref="U74">IF(OR(U73=1),"",IFERROR(INDEX(Tableau1[],MATCH(1,(PLANNING!U70&gt;=Tableau1[Date début])*(Tableau1[Date de fin]&gt;=PLANNING!U70)*(Tableau1[Nom]=PLANNING!$S$2),0),5),""))</f>
        <v/>
      </c>
      <c r="V74" s="123" t="str">
        <f t="array" ref="V74">IF(OR(V73=1),"",IFERROR(INDEX(Tableau1[],MATCH(1,(PLANNING!V70&gt;=Tableau1[Date début])*(Tableau1[Date de fin]&gt;=PLANNING!V70)*(Tableau1[Nom]=PLANNING!$S$2),0),5),""))</f>
        <v/>
      </c>
      <c r="W74" s="123" t="str">
        <f t="array" ref="W74">IF(OR(W73=1),"",IFERROR(INDEX(Tableau1[],MATCH(1,(PLANNING!W70&gt;=Tableau1[Date début])*(Tableau1[Date de fin]&gt;=PLANNING!W70)*(Tableau1[Nom]=PLANNING!$S$2),0),5),""))</f>
        <v/>
      </c>
      <c r="X74" s="123" t="str">
        <f t="array" ref="X74">IF(OR(X73=1),"",IFERROR(INDEX(Tableau1[],MATCH(1,(PLANNING!X70&gt;=Tableau1[Date début])*(Tableau1[Date de fin]&gt;=PLANNING!X70)*(Tableau1[Nom]=PLANNING!$S$2),0),5),""))</f>
        <v/>
      </c>
      <c r="Y74" s="123" t="str">
        <f t="array" ref="Y74">IF(OR(Y73=1),"",IFERROR(INDEX(Tableau1[],MATCH(1,(PLANNING!Y70&gt;=Tableau1[Date début])*(Tableau1[Date de fin]&gt;=PLANNING!Y70)*(Tableau1[Nom]=PLANNING!$S$2),0),5),""))</f>
        <v/>
      </c>
      <c r="Z74" s="123" t="str">
        <f t="array" ref="Z74">IF(OR(Z73=1),"",IFERROR(INDEX(Tableau1[],MATCH(1,(PLANNING!Z70&gt;=Tableau1[Date début])*(Tableau1[Date de fin]&gt;=PLANNING!Z70)*(Tableau1[Nom]=PLANNING!$S$2),0),5),""))</f>
        <v/>
      </c>
      <c r="AA74" s="123" t="str">
        <f t="array" ref="AA74">IF(OR(AA73=1),"",IFERROR(INDEX(Tableau1[],MATCH(1,(PLANNING!AA70&gt;=Tableau1[Date début])*(Tableau1[Date de fin]&gt;=PLANNING!AA70)*(Tableau1[Nom]=PLANNING!$S$2),0),5),""))</f>
        <v/>
      </c>
      <c r="AB74" s="123" t="str">
        <f t="array" ref="AB74">IF(OR(AB73=1),"",IFERROR(INDEX(Tableau1[],MATCH(1,(PLANNING!AB70&gt;=Tableau1[Date début])*(Tableau1[Date de fin]&gt;=PLANNING!AB70)*(Tableau1[Nom]=PLANNING!$S$2),0),5),""))</f>
        <v/>
      </c>
      <c r="AC74" s="123" t="str">
        <f t="array" ref="AC74">IF(OR(AC73=1),"",IFERROR(INDEX(Tableau1[],MATCH(1,(PLANNING!AC70&gt;=Tableau1[Date début])*(Tableau1[Date de fin]&gt;=PLANNING!AC70)*(Tableau1[Nom]=PLANNING!$S$2),0),5),""))</f>
        <v/>
      </c>
      <c r="AD74" s="123" t="str">
        <f t="array" ref="AD74">IF(OR(AD73=1),"",IFERROR(INDEX(Tableau1[],MATCH(1,(PLANNING!AD70&gt;=Tableau1[Date début])*(Tableau1[Date de fin]&gt;=PLANNING!AD70)*(Tableau1[Nom]=PLANNING!$S$2),0),5),""))</f>
        <v/>
      </c>
      <c r="AE74" s="123" t="str">
        <f t="array" ref="AE74">IF(OR(AE73=1),"",IFERROR(INDEX(Tableau1[],MATCH(1,(PLANNING!AE70&gt;=Tableau1[Date début])*(Tableau1[Date de fin]&gt;=PLANNING!AE70)*(Tableau1[Nom]=PLANNING!$S$2),0),5),""))</f>
        <v/>
      </c>
      <c r="AF74" s="123" t="str">
        <f t="array" ref="AF74">IF(OR(AF73=1),"",IFERROR(INDEX(Tableau1[],MATCH(1,(PLANNING!AF70&gt;=Tableau1[Date début])*(Tableau1[Date de fin]&gt;=PLANNING!AF70)*(Tableau1[Nom]=PLANNING!$S$2),0),5),""))</f>
        <v/>
      </c>
      <c r="AG74" s="123" t="str">
        <f t="array" ref="AG74">IF(OR(AG73=1),"",IFERROR(INDEX(Tableau1[],MATCH(1,(PLANNING!AG70&gt;=Tableau1[Date début])*(Tableau1[Date de fin]&gt;=PLANNING!AG70)*(Tableau1[Nom]=PLANNING!$S$2),0),5),""))</f>
        <v/>
      </c>
      <c r="AH74" s="124" t="str">
        <f t="array" ref="AH74">IF(OR(AH73=1),"",IFERROR(INDEX(Tableau1[],MATCH(1,(PLANNING!AH70&gt;=Tableau1[Date début])*(Tableau1[Date de fin]&gt;=PLANNING!AH70)*(Tableau1[Nom]=PLANNING!$S$2),0),5),""))</f>
        <v/>
      </c>
      <c r="AI74" s="77">
        <f>COUNTIF($D$74:$AH$74,AI73)</f>
        <v>0</v>
      </c>
      <c r="AJ74" s="77">
        <f t="shared" ref="AJ74:AR74" si="71">COUNTIF($D$74:$AH$74,AJ73)</f>
        <v>0</v>
      </c>
      <c r="AK74" s="77">
        <f t="shared" si="71"/>
        <v>0</v>
      </c>
      <c r="AL74" s="77">
        <f t="shared" si="71"/>
        <v>0</v>
      </c>
      <c r="AM74" s="77">
        <f>COUNTIF($D$74:$AH$74,AM73)</f>
        <v>0</v>
      </c>
      <c r="AN74" s="77">
        <f>COUNTIF($D$74:$AH$74,AN73)</f>
        <v>0</v>
      </c>
      <c r="AO74" s="77">
        <f t="shared" si="71"/>
        <v>0</v>
      </c>
      <c r="AP74" s="77">
        <f t="shared" si="71"/>
        <v>0</v>
      </c>
      <c r="AQ74" s="77">
        <f t="shared" si="71"/>
        <v>0</v>
      </c>
      <c r="AR74" s="77">
        <f t="shared" si="71"/>
        <v>0</v>
      </c>
      <c r="AS74" s="77">
        <f t="shared" ref="AS74:AV74" si="72">COUNTIF($D$74:$AH$74,AS73)</f>
        <v>0</v>
      </c>
      <c r="AT74" s="77">
        <f>COUNTIF($D$74:$AH$74,AT73)</f>
        <v>0</v>
      </c>
      <c r="AU74" s="77">
        <f>COUNTIF($D$74:$AH$74,AU73)</f>
        <v>0</v>
      </c>
      <c r="AV74" s="77">
        <f t="shared" si="72"/>
        <v>0</v>
      </c>
      <c r="AW74" s="77">
        <f>COUNTIF($D$74:$AH$74,AW73)</f>
        <v>0</v>
      </c>
      <c r="AX74" s="77">
        <f>CALENDRIER!AC30</f>
        <v>1</v>
      </c>
    </row>
    <row r="75" spans="2:50">
      <c r="AO75" s="77"/>
      <c r="AQ75" s="76"/>
      <c r="AR75" s="77"/>
    </row>
    <row r="76" spans="2:50">
      <c r="AO76" s="77"/>
      <c r="AQ76" s="76"/>
      <c r="AR76" s="77"/>
    </row>
    <row r="77" spans="2:50">
      <c r="AO77" s="77"/>
      <c r="AQ77" s="76"/>
      <c r="AR77" s="77"/>
    </row>
  </sheetData>
  <mergeCells count="29">
    <mergeCell ref="E7:I7"/>
    <mergeCell ref="M13:Q13"/>
    <mergeCell ref="AB13:AE13"/>
    <mergeCell ref="E13:I13"/>
    <mergeCell ref="AB7:AE7"/>
    <mergeCell ref="U11:X11"/>
    <mergeCell ref="U9:X9"/>
    <mergeCell ref="U7:X7"/>
    <mergeCell ref="M11:Q11"/>
    <mergeCell ref="M9:Q9"/>
    <mergeCell ref="M7:Q7"/>
    <mergeCell ref="AB11:AE11"/>
    <mergeCell ref="AB9:AE9"/>
    <mergeCell ref="S2:AH5"/>
    <mergeCell ref="D2:P5"/>
    <mergeCell ref="D71:AH71"/>
    <mergeCell ref="D16:AH16"/>
    <mergeCell ref="D21:AH21"/>
    <mergeCell ref="D26:AH26"/>
    <mergeCell ref="D31:AH31"/>
    <mergeCell ref="D36:AH36"/>
    <mergeCell ref="D41:AH41"/>
    <mergeCell ref="D46:AH46"/>
    <mergeCell ref="D51:AH51"/>
    <mergeCell ref="D56:AH56"/>
    <mergeCell ref="D61:AH61"/>
    <mergeCell ref="D66:AH66"/>
    <mergeCell ref="E11:I11"/>
    <mergeCell ref="E9:I9"/>
  </mergeCells>
  <conditionalFormatting sqref="D17:AH19">
    <cfRule type="expression" dxfId="298" priority="126">
      <formula>OR(D$18=1)</formula>
    </cfRule>
  </conditionalFormatting>
  <conditionalFormatting sqref="D19:AH19">
    <cfRule type="cellIs" dxfId="297" priority="10" operator="equal">
      <formula>"REP"</formula>
    </cfRule>
    <cfRule type="cellIs" dxfId="296" priority="11" operator="equal">
      <formula>"CDT"</formula>
    </cfRule>
    <cfRule type="cellIs" dxfId="295" priority="12" operator="equal">
      <formula>"JSOLID"</formula>
    </cfRule>
    <cfRule type="cellIs" dxfId="294" priority="13" operator="equal">
      <formula>"AIF"</formula>
    </cfRule>
    <cfRule type="cellIs" dxfId="293" priority="14" operator="equal">
      <formula>"AR"</formula>
    </cfRule>
    <cfRule type="cellIs" dxfId="292" priority="15" operator="equal">
      <formula>"AB"</formula>
    </cfRule>
    <cfRule type="cellIs" dxfId="291" priority="16" operator="equal">
      <formula>"AG"</formula>
    </cfRule>
    <cfRule type="cellIs" dxfId="290" priority="29" operator="equal">
      <formula>"INF"</formula>
    </cfRule>
    <cfRule type="cellIs" dxfId="289" priority="75" operator="equal">
      <formula>"R"</formula>
    </cfRule>
    <cfRule type="cellIs" dxfId="288" priority="76" operator="equal">
      <formula>"ES"</formula>
    </cfRule>
    <cfRule type="cellIs" dxfId="287" priority="77" operator="equal">
      <formula>"P"</formula>
    </cfRule>
    <cfRule type="cellIs" dxfId="286" priority="78" operator="equal">
      <formula>"AT"</formula>
    </cfRule>
    <cfRule type="cellIs" dxfId="285" priority="123" operator="equal">
      <formula>"M"</formula>
    </cfRule>
    <cfRule type="cellIs" dxfId="284" priority="124" operator="equal">
      <formula>"RTT"</formula>
    </cfRule>
    <cfRule type="cellIs" dxfId="283" priority="125" operator="equal">
      <formula>"CP"</formula>
    </cfRule>
  </conditionalFormatting>
  <conditionalFormatting sqref="D22:AH24">
    <cfRule type="expression" dxfId="282" priority="122">
      <formula>OR(D$23=1)</formula>
    </cfRule>
  </conditionalFormatting>
  <conditionalFormatting sqref="D24:AH24">
    <cfRule type="cellIs" dxfId="281" priority="71" operator="equal">
      <formula>"R"</formula>
    </cfRule>
    <cfRule type="cellIs" dxfId="280" priority="72" operator="equal">
      <formula>"ES"</formula>
    </cfRule>
    <cfRule type="cellIs" dxfId="279" priority="73" operator="equal">
      <formula>"P"</formula>
    </cfRule>
    <cfRule type="cellIs" dxfId="278" priority="74" operator="equal">
      <formula>"AT"</formula>
    </cfRule>
    <cfRule type="cellIs" dxfId="277" priority="119" operator="equal">
      <formula>"M"</formula>
    </cfRule>
    <cfRule type="cellIs" dxfId="276" priority="120" operator="equal">
      <formula>"RTT"</formula>
    </cfRule>
    <cfRule type="cellIs" dxfId="275" priority="121" operator="equal">
      <formula>"CP"</formula>
    </cfRule>
  </conditionalFormatting>
  <conditionalFormatting sqref="D27:AH29">
    <cfRule type="expression" dxfId="274" priority="118">
      <formula>OR(D$28=1)</formula>
    </cfRule>
  </conditionalFormatting>
  <conditionalFormatting sqref="D29:AH29">
    <cfRule type="cellIs" dxfId="273" priority="67" operator="equal">
      <formula>"R"</formula>
    </cfRule>
    <cfRule type="cellIs" dxfId="272" priority="68" operator="equal">
      <formula>"ES"</formula>
    </cfRule>
    <cfRule type="cellIs" dxfId="271" priority="69" operator="equal">
      <formula>"P"</formula>
    </cfRule>
    <cfRule type="cellIs" dxfId="270" priority="70" operator="equal">
      <formula>"AT"</formula>
    </cfRule>
    <cfRule type="cellIs" dxfId="269" priority="115" operator="equal">
      <formula>"M"</formula>
    </cfRule>
    <cfRule type="cellIs" dxfId="268" priority="116" operator="equal">
      <formula>"RTT"</formula>
    </cfRule>
    <cfRule type="cellIs" dxfId="267" priority="117" operator="equal">
      <formula>"CP"</formula>
    </cfRule>
  </conditionalFormatting>
  <conditionalFormatting sqref="D32:AH34">
    <cfRule type="expression" dxfId="266" priority="114">
      <formula>OR(D$33=1)</formula>
    </cfRule>
  </conditionalFormatting>
  <conditionalFormatting sqref="D34:AH34">
    <cfRule type="cellIs" dxfId="265" priority="63" operator="equal">
      <formula>"R"</formula>
    </cfRule>
    <cfRule type="cellIs" dxfId="264" priority="64" operator="equal">
      <formula>"ES"</formula>
    </cfRule>
    <cfRule type="cellIs" dxfId="263" priority="65" operator="equal">
      <formula>"P"</formula>
    </cfRule>
    <cfRule type="cellIs" dxfId="262" priority="66" operator="equal">
      <formula>"AT"</formula>
    </cfRule>
    <cfRule type="cellIs" dxfId="261" priority="111" operator="equal">
      <formula>"M"</formula>
    </cfRule>
    <cfRule type="cellIs" dxfId="260" priority="112" operator="equal">
      <formula>"RTT"</formula>
    </cfRule>
    <cfRule type="cellIs" dxfId="259" priority="113" operator="equal">
      <formula>"CP"</formula>
    </cfRule>
  </conditionalFormatting>
  <conditionalFormatting sqref="D37:AH39">
    <cfRule type="expression" dxfId="258" priority="110">
      <formula>OR(D$38=1)</formula>
    </cfRule>
  </conditionalFormatting>
  <conditionalFormatting sqref="D39:AH39">
    <cfRule type="cellIs" dxfId="257" priority="59" operator="equal">
      <formula>"R"</formula>
    </cfRule>
    <cfRule type="cellIs" dxfId="256" priority="60" operator="equal">
      <formula>"ES"</formula>
    </cfRule>
    <cfRule type="cellIs" dxfId="255" priority="61" operator="equal">
      <formula>"P"</formula>
    </cfRule>
    <cfRule type="cellIs" dxfId="254" priority="62" operator="equal">
      <formula>"AT"</formula>
    </cfRule>
    <cfRule type="cellIs" dxfId="253" priority="107" operator="equal">
      <formula>"M"</formula>
    </cfRule>
    <cfRule type="cellIs" dxfId="252" priority="108" operator="equal">
      <formula>"RTT"</formula>
    </cfRule>
    <cfRule type="cellIs" dxfId="251" priority="109" operator="equal">
      <formula>"CP"</formula>
    </cfRule>
  </conditionalFormatting>
  <conditionalFormatting sqref="D42:AH44">
    <cfRule type="expression" dxfId="250" priority="106">
      <formula>OR(D$43=1)</formula>
    </cfRule>
  </conditionalFormatting>
  <conditionalFormatting sqref="D44:AH44">
    <cfRule type="cellIs" dxfId="249" priority="55" operator="equal">
      <formula>"R"</formula>
    </cfRule>
    <cfRule type="cellIs" dxfId="248" priority="56" operator="equal">
      <formula>"ES"</formula>
    </cfRule>
    <cfRule type="cellIs" dxfId="247" priority="57" operator="equal">
      <formula>"P"</formula>
    </cfRule>
    <cfRule type="cellIs" dxfId="246" priority="58" operator="equal">
      <formula>"AT"</formula>
    </cfRule>
    <cfRule type="cellIs" dxfId="245" priority="103" operator="equal">
      <formula>"M"</formula>
    </cfRule>
    <cfRule type="cellIs" dxfId="244" priority="104" operator="equal">
      <formula>"RTT"</formula>
    </cfRule>
    <cfRule type="cellIs" dxfId="243" priority="105" operator="equal">
      <formula>"CP"</formula>
    </cfRule>
  </conditionalFormatting>
  <conditionalFormatting sqref="D47:AH49">
    <cfRule type="expression" dxfId="242" priority="102">
      <formula>OR(D$48=1)</formula>
    </cfRule>
  </conditionalFormatting>
  <conditionalFormatting sqref="D49:AH49">
    <cfRule type="cellIs" dxfId="241" priority="51" operator="equal">
      <formula>"R"</formula>
    </cfRule>
    <cfRule type="cellIs" dxfId="240" priority="52" operator="equal">
      <formula>"ES"</formula>
    </cfRule>
    <cfRule type="cellIs" dxfId="239" priority="53" operator="equal">
      <formula>"P"</formula>
    </cfRule>
    <cfRule type="cellIs" dxfId="238" priority="54" operator="equal">
      <formula>"AT"</formula>
    </cfRule>
    <cfRule type="cellIs" dxfId="237" priority="99" operator="equal">
      <formula>"M"</formula>
    </cfRule>
    <cfRule type="cellIs" dxfId="236" priority="100" operator="equal">
      <formula>"RTT"</formula>
    </cfRule>
    <cfRule type="cellIs" dxfId="235" priority="101" operator="equal">
      <formula>"CP"</formula>
    </cfRule>
  </conditionalFormatting>
  <conditionalFormatting sqref="D52:AH54">
    <cfRule type="expression" dxfId="234" priority="98">
      <formula>OR(D$53=1)</formula>
    </cfRule>
  </conditionalFormatting>
  <conditionalFormatting sqref="D54:AH54">
    <cfRule type="cellIs" dxfId="233" priority="47" operator="equal">
      <formula>"R"</formula>
    </cfRule>
    <cfRule type="cellIs" dxfId="232" priority="48" operator="equal">
      <formula>"ES"</formula>
    </cfRule>
    <cfRule type="cellIs" dxfId="231" priority="49" operator="equal">
      <formula>"P"</formula>
    </cfRule>
    <cfRule type="cellIs" dxfId="230" priority="50" operator="equal">
      <formula>"AT"</formula>
    </cfRule>
    <cfRule type="cellIs" dxfId="229" priority="95" operator="equal">
      <formula>"M"</formula>
    </cfRule>
    <cfRule type="cellIs" dxfId="228" priority="96" operator="equal">
      <formula>"RTT"</formula>
    </cfRule>
    <cfRule type="cellIs" dxfId="227" priority="97" operator="equal">
      <formula>"CP"</formula>
    </cfRule>
  </conditionalFormatting>
  <conditionalFormatting sqref="D57:AH59">
    <cfRule type="expression" dxfId="226" priority="94">
      <formula>OR(D$58=1)</formula>
    </cfRule>
  </conditionalFormatting>
  <conditionalFormatting sqref="D59:AH59">
    <cfRule type="cellIs" dxfId="225" priority="43" operator="equal">
      <formula>"R"</formula>
    </cfRule>
    <cfRule type="cellIs" dxfId="224" priority="44" operator="equal">
      <formula>"ES"</formula>
    </cfRule>
    <cfRule type="cellIs" dxfId="223" priority="45" operator="equal">
      <formula>"P"</formula>
    </cfRule>
    <cfRule type="cellIs" dxfId="222" priority="46" operator="equal">
      <formula>"AT"</formula>
    </cfRule>
    <cfRule type="cellIs" dxfId="221" priority="91" operator="equal">
      <formula>"M"</formula>
    </cfRule>
    <cfRule type="cellIs" dxfId="220" priority="92" operator="equal">
      <formula>"RTT"</formula>
    </cfRule>
    <cfRule type="cellIs" dxfId="219" priority="93" operator="equal">
      <formula>"CP"</formula>
    </cfRule>
  </conditionalFormatting>
  <conditionalFormatting sqref="D62:AH64">
    <cfRule type="expression" dxfId="218" priority="90">
      <formula>OR(D$63=1)</formula>
    </cfRule>
  </conditionalFormatting>
  <conditionalFormatting sqref="D64:AH64">
    <cfRule type="cellIs" dxfId="217" priority="39" operator="equal">
      <formula>"R"</formula>
    </cfRule>
    <cfRule type="cellIs" dxfId="216" priority="40" operator="equal">
      <formula>"ES"</formula>
    </cfRule>
    <cfRule type="cellIs" dxfId="215" priority="41" operator="equal">
      <formula>"P"</formula>
    </cfRule>
    <cfRule type="cellIs" dxfId="214" priority="42" operator="equal">
      <formula>"AT"</formula>
    </cfRule>
    <cfRule type="cellIs" dxfId="213" priority="87" operator="equal">
      <formula>"M"</formula>
    </cfRule>
    <cfRule type="cellIs" dxfId="212" priority="88" operator="equal">
      <formula>"RTT"</formula>
    </cfRule>
    <cfRule type="cellIs" dxfId="211" priority="89" operator="equal">
      <formula>"CP"</formula>
    </cfRule>
  </conditionalFormatting>
  <conditionalFormatting sqref="D67:AH69">
    <cfRule type="expression" dxfId="210" priority="86">
      <formula>OR(D$68=1)</formula>
    </cfRule>
  </conditionalFormatting>
  <conditionalFormatting sqref="D69:AH69">
    <cfRule type="cellIs" dxfId="209" priority="35" operator="equal">
      <formula>"R"</formula>
    </cfRule>
    <cfRule type="cellIs" dxfId="208" priority="36" operator="equal">
      <formula>"ES"</formula>
    </cfRule>
    <cfRule type="cellIs" dxfId="207" priority="37" operator="equal">
      <formula>"P"</formula>
    </cfRule>
    <cfRule type="cellIs" dxfId="206" priority="38" operator="equal">
      <formula>"AT"</formula>
    </cfRule>
    <cfRule type="cellIs" dxfId="205" priority="83" operator="equal">
      <formula>"M"</formula>
    </cfRule>
    <cfRule type="cellIs" dxfId="204" priority="84" operator="equal">
      <formula>"RTT"</formula>
    </cfRule>
    <cfRule type="cellIs" dxfId="203" priority="85" operator="equal">
      <formula>"CP"</formula>
    </cfRule>
  </conditionalFormatting>
  <conditionalFormatting sqref="D72:AH74">
    <cfRule type="expression" dxfId="202" priority="82">
      <formula>OR(D$73=1)</formula>
    </cfRule>
  </conditionalFormatting>
  <conditionalFormatting sqref="D74:AH74">
    <cfRule type="cellIs" dxfId="201" priority="31" operator="equal">
      <formula>"R"</formula>
    </cfRule>
    <cfRule type="cellIs" dxfId="200" priority="32" operator="equal">
      <formula>"ES"</formula>
    </cfRule>
    <cfRule type="cellIs" dxfId="199" priority="33" operator="equal">
      <formula>"P"</formula>
    </cfRule>
    <cfRule type="cellIs" dxfId="198" priority="34" operator="equal">
      <formula>"AT"</formula>
    </cfRule>
    <cfRule type="cellIs" dxfId="197" priority="79" operator="equal">
      <formula>"M"</formula>
    </cfRule>
    <cfRule type="cellIs" dxfId="196" priority="80" operator="equal">
      <formula>"RTT"</formula>
    </cfRule>
    <cfRule type="cellIs" dxfId="195" priority="81" operator="equal">
      <formula>"CP"</formula>
    </cfRule>
  </conditionalFormatting>
  <conditionalFormatting sqref="D17:D19 E19:AH19">
    <cfRule type="expression" dxfId="194" priority="30">
      <formula>"OU(B12=Feuil6!$AF$4;B12=Feuil6!$AF$5;B12=Feuil6!$AF$6;B12=Feuil6!$AF$7;B12=Feuil6!$AF$8;B12=Feuil6!$AF$10;B12=Feuil6!$AF$11;B12=Feuil6!$AF$12;B12=Feuil6!$AF$13;B12=Feuil6!$AF$14;B12=Feuil6!$AF$16)"</formula>
    </cfRule>
  </conditionalFormatting>
  <conditionalFormatting sqref="D24:AH24 D29:AH29 D34:AH34 D39:AH39 D44:AH44 D49:AH49 D54:AH54 D59:AH59 D64:AH64 D69:AH69 D74:AH74">
    <cfRule type="cellIs" dxfId="193" priority="1" operator="equal">
      <formula>"JSO"</formula>
    </cfRule>
    <cfRule type="cellIs" dxfId="192" priority="2" operator="equal">
      <formula>"REP"</formula>
    </cfRule>
    <cfRule type="cellIs" dxfId="191" priority="3" operator="equal">
      <formula>"INF"</formula>
    </cfRule>
    <cfRule type="cellIs" dxfId="190" priority="4" operator="equal">
      <formula>"CDT"</formula>
    </cfRule>
    <cfRule type="cellIs" dxfId="189" priority="5" operator="equal">
      <formula>"AIF"</formula>
    </cfRule>
    <cfRule type="cellIs" dxfId="188" priority="6" operator="equal">
      <formula>"AR"</formula>
    </cfRule>
    <cfRule type="cellIs" dxfId="187" priority="7" operator="equal">
      <formula>"AG"</formula>
    </cfRule>
    <cfRule type="cellIs" dxfId="186" priority="8" operator="equal">
      <formula>"AT"</formula>
    </cfRule>
  </conditionalFormatting>
  <dataValidations count="1">
    <dataValidation type="list" allowBlank="1" showInputMessage="1" showErrorMessage="1" sqref="R2:S2 Q3:R6">
      <formula1>NomPrenom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16</xdr:col>
                    <xdr:colOff>9525</xdr:colOff>
                    <xdr:row>1</xdr:row>
                    <xdr:rowOff>0</xdr:rowOff>
                  </from>
                  <to>
                    <xdr:col>17</xdr:col>
                    <xdr:colOff>371475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9DE0189-FBA0-4403-BE94-E7E78A9E2904}">
            <xm:f>D$15=VLOOKUP(D$15,CALENDRIER!$AF$4:$AF$15,1,0)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D17:AH19</xm:sqref>
        </x14:conditionalFormatting>
        <x14:conditionalFormatting xmlns:xm="http://schemas.microsoft.com/office/excel/2006/main">
          <x14:cfRule type="expression" priority="28" id="{FE240AB3-EAA7-4619-8F36-074B17735C04}">
            <xm:f>D$20=VLOOKUP(D$20,CALENDRIER!$AF$4:$AF$15,1,0)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D22:AH24</xm:sqref>
        </x14:conditionalFormatting>
        <x14:conditionalFormatting xmlns:xm="http://schemas.microsoft.com/office/excel/2006/main">
          <x14:cfRule type="expression" priority="27" id="{91DFEE54-DA2F-4F5B-A9FB-8E0B16A53A8A}">
            <xm:f>D$25=VLOOKUP(D$25,CALENDRIER!$AF$4:$AF$15,1,0)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D27:AH29</xm:sqref>
        </x14:conditionalFormatting>
        <x14:conditionalFormatting xmlns:xm="http://schemas.microsoft.com/office/excel/2006/main">
          <x14:cfRule type="expression" priority="26" id="{D62C4FDB-1D27-4E1A-AE33-DCD0B896DCF5}">
            <xm:f>D$30=VLOOKUP(D$30,CALENDRIER!$AF$4:$AF$15,1,0)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D32:AH34</xm:sqref>
        </x14:conditionalFormatting>
        <x14:conditionalFormatting xmlns:xm="http://schemas.microsoft.com/office/excel/2006/main">
          <x14:cfRule type="expression" priority="25" id="{A1F4E538-0292-40C0-A56A-6A75D7DA8B64}">
            <xm:f>D$35=VLOOKUP(D$35,CALENDRIER!$AF$4:$AF$15,1,0)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D37:AH39</xm:sqref>
        </x14:conditionalFormatting>
        <x14:conditionalFormatting xmlns:xm="http://schemas.microsoft.com/office/excel/2006/main">
          <x14:cfRule type="expression" priority="24" id="{3DB5CAB0-B5B8-4FBC-8512-C21D33A0C779}">
            <xm:f>D$40=VLOOKUP(D$40,CALENDRIER!$AF$4:$AF$15,1,0)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D42:AH44</xm:sqref>
        </x14:conditionalFormatting>
        <x14:conditionalFormatting xmlns:xm="http://schemas.microsoft.com/office/excel/2006/main">
          <x14:cfRule type="expression" priority="23" id="{274629B9-3CD5-497B-8CB0-BE7D867DA418}">
            <xm:f>D$45=VLOOKUP(D$45,CALENDRIER!$AF$4:$AF$15,1,0)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D47:AH49</xm:sqref>
        </x14:conditionalFormatting>
        <x14:conditionalFormatting xmlns:xm="http://schemas.microsoft.com/office/excel/2006/main">
          <x14:cfRule type="expression" priority="22" id="{FD997770-9E1A-4051-B059-12E038B308D5}">
            <xm:f>D$50=VLOOKUP(D$50,CALENDRIER!$AF$4:$AF$15,1,0)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D52:AH54</xm:sqref>
        </x14:conditionalFormatting>
        <x14:conditionalFormatting xmlns:xm="http://schemas.microsoft.com/office/excel/2006/main">
          <x14:cfRule type="expression" priority="21" id="{E41C0FA2-44D0-45FD-B53E-BC44399BF9B6}">
            <xm:f>D$55=VLOOKUP(D$55,CALENDRIER!$AF$4:$AF$15,1,0)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D57:AH59</xm:sqref>
        </x14:conditionalFormatting>
        <x14:conditionalFormatting xmlns:xm="http://schemas.microsoft.com/office/excel/2006/main">
          <x14:cfRule type="expression" priority="20" id="{351E115B-3CCF-445F-870E-DDC82D616514}">
            <xm:f>D$60=VLOOKUP(D$60,CALENDRIER!$AF$4:$AF$15,1,0)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D62:AH64</xm:sqref>
        </x14:conditionalFormatting>
        <x14:conditionalFormatting xmlns:xm="http://schemas.microsoft.com/office/excel/2006/main">
          <x14:cfRule type="expression" priority="19" id="{A7AB489B-4AED-4239-AB33-7AC7921B9A94}">
            <xm:f>D$65=VLOOKUP(D$65,CALENDRIER!$AF$4:$AF$15,1,0)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D67:AH69</xm:sqref>
        </x14:conditionalFormatting>
        <x14:conditionalFormatting xmlns:xm="http://schemas.microsoft.com/office/excel/2006/main">
          <x14:cfRule type="expression" priority="18" id="{E703D20D-EDCF-4415-848C-20EE5600A6DC}">
            <xm:f>D$70=VLOOKUP(D$70,CALENDRIER!$AF$4:$AF$15,1,0)</xm:f>
            <x14:dxf>
              <font>
                <b/>
                <i val="0"/>
                <color rgb="FF00B050"/>
              </font>
              <fill>
                <gradientFill>
                  <stop position="0">
                    <color rgb="FF92D050"/>
                  </stop>
                  <stop position="0.5">
                    <color rgb="FFFFFF00"/>
                  </stop>
                  <stop position="1">
                    <color rgb="FF92D050"/>
                  </stop>
                </gradientFill>
              </fill>
            </x14:dxf>
          </x14:cfRule>
          <xm:sqref>D72:AH74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rgb="FFFF0000"/>
  </sheetPr>
  <dimension ref="A1:M616"/>
  <sheetViews>
    <sheetView showGridLines="0" workbookViewId="0">
      <pane ySplit="1" topLeftCell="A2" activePane="bottomLeft" state="frozen"/>
      <selection activeCell="A2" sqref="A2:K2"/>
      <selection pane="bottomLeft" activeCell="A2" sqref="A2:K2"/>
    </sheetView>
  </sheetViews>
  <sheetFormatPr baseColWidth="10" defaultColWidth="11.42578125" defaultRowHeight="15"/>
  <cols>
    <col min="1" max="1" width="23.5703125" style="133" customWidth="1"/>
    <col min="2" max="2" width="29" style="133" customWidth="1"/>
    <col min="3" max="3" width="13" style="133" customWidth="1"/>
    <col min="4" max="4" width="12.85546875" style="133" customWidth="1"/>
    <col min="5" max="5" width="14.7109375" style="135" customWidth="1"/>
    <col min="6" max="6" width="23.5703125" style="135" customWidth="1"/>
    <col min="7" max="7" width="12.85546875" style="133" customWidth="1"/>
    <col min="8" max="8" width="11.42578125" style="135"/>
    <col min="9" max="9" width="15.85546875" style="154" customWidth="1"/>
    <col min="10" max="10" width="15.85546875" style="154" bestFit="1" customWidth="1"/>
    <col min="11" max="11" width="34.140625" style="133" customWidth="1"/>
    <col min="12" max="12" width="11.42578125" style="133"/>
    <col min="13" max="13" width="11.42578125" style="156"/>
    <col min="14" max="16384" width="11.42578125" style="133"/>
  </cols>
  <sheetData>
    <row r="1" spans="1:11">
      <c r="A1" s="133" t="s">
        <v>4</v>
      </c>
      <c r="B1" s="133" t="s">
        <v>5</v>
      </c>
      <c r="C1" s="133" t="s">
        <v>6</v>
      </c>
      <c r="D1" s="133" t="s">
        <v>7</v>
      </c>
      <c r="E1" s="135" t="s">
        <v>10</v>
      </c>
      <c r="F1" s="135" t="s">
        <v>95</v>
      </c>
      <c r="G1" s="133" t="s">
        <v>25</v>
      </c>
      <c r="H1" s="135" t="s">
        <v>81</v>
      </c>
      <c r="I1" s="154" t="s">
        <v>131</v>
      </c>
      <c r="J1" s="154" t="s">
        <v>132</v>
      </c>
      <c r="K1" s="133" t="s">
        <v>130</v>
      </c>
    </row>
    <row r="2" spans="1:11">
      <c r="A2" s="133" t="s">
        <v>181</v>
      </c>
      <c r="B2" s="133" t="s">
        <v>27</v>
      </c>
      <c r="C2" s="134">
        <v>43832</v>
      </c>
      <c r="D2" s="134">
        <v>43834</v>
      </c>
      <c r="E2" s="136" t="str">
        <f>VLOOKUP(Tableau1[[#This Row],[Type]],LISTES!$A$2:$O$61,2,0)</f>
        <v>CP</v>
      </c>
      <c r="F2" s="136">
        <f>NETWORKDAYS.INTL(C2,D2,11,CALENDRIER!AF4:AF15)</f>
        <v>3</v>
      </c>
      <c r="G2" s="134" t="s">
        <v>26</v>
      </c>
      <c r="H2" s="137">
        <f>Tableau1[[#This Row],[Date début]]</f>
        <v>43832</v>
      </c>
    </row>
    <row r="3" spans="1:11">
      <c r="A3" s="133" t="s">
        <v>181</v>
      </c>
      <c r="B3" s="133" t="s">
        <v>101</v>
      </c>
      <c r="C3" s="134">
        <v>43836</v>
      </c>
      <c r="D3" s="134">
        <v>43840</v>
      </c>
      <c r="E3" s="135" t="str">
        <f>VLOOKUP(Tableau1[[#This Row],[Type]],LISTES!$A$2:$O$61,2,0)</f>
        <v>CDT</v>
      </c>
      <c r="F3" s="136">
        <f>NETWORKDAYS.INTL(C3,D3,11,CALENDRIER!AF4:AF15)</f>
        <v>5</v>
      </c>
      <c r="G3" s="134"/>
      <c r="H3" s="137">
        <f>Tableau1[[#This Row],[Date début]]</f>
        <v>43836</v>
      </c>
    </row>
    <row r="4" spans="1:11">
      <c r="A4" s="133" t="s">
        <v>181</v>
      </c>
      <c r="B4" s="133" t="s">
        <v>113</v>
      </c>
      <c r="C4" s="134">
        <v>43841</v>
      </c>
      <c r="D4" s="134">
        <v>43841</v>
      </c>
      <c r="E4" s="135" t="str">
        <f>VLOOKUP(Tableau1[[#This Row],[Type]],LISTES!$A$2:$O$61,2,0)</f>
        <v>REP</v>
      </c>
      <c r="F4" s="136">
        <f>NETWORKDAYS.INTL(C4,D4,11,CALENDRIER!AF5:AF16)</f>
        <v>1</v>
      </c>
      <c r="G4" s="134"/>
      <c r="H4" s="137">
        <f>Tableau1[[#This Row],[Date début]]</f>
        <v>43841</v>
      </c>
    </row>
    <row r="5" spans="1:11">
      <c r="A5" s="133" t="s">
        <v>181</v>
      </c>
      <c r="B5" s="133" t="s">
        <v>101</v>
      </c>
      <c r="C5" s="134">
        <v>43843</v>
      </c>
      <c r="D5" s="134">
        <v>43843</v>
      </c>
      <c r="E5" s="136" t="str">
        <f>VLOOKUP(Tableau1[[#This Row],[Type]],LISTES!$A$2:$O$61,2,0)</f>
        <v>CDT</v>
      </c>
      <c r="F5" s="136">
        <f>NETWORKDAYS.INTL(C5,D5,11,CALENDRIER!AF6:AF17)</f>
        <v>1</v>
      </c>
      <c r="G5" s="134"/>
      <c r="H5" s="137">
        <f>Tableau1[[#This Row],[Date début]]</f>
        <v>43843</v>
      </c>
    </row>
    <row r="6" spans="1:11">
      <c r="A6" s="133" t="s">
        <v>181</v>
      </c>
      <c r="B6" s="133" t="s">
        <v>87</v>
      </c>
      <c r="C6" s="134">
        <v>43844</v>
      </c>
      <c r="D6" s="134">
        <v>43844</v>
      </c>
      <c r="E6" s="136" t="str">
        <f>VLOOKUP(Tableau1[[#This Row],[Type]],LISTES!$A$2:$O$61,2,0)</f>
        <v>INF</v>
      </c>
      <c r="F6" s="136">
        <f>NETWORKDAYS.INTL(C6,D6,11,CALENDRIER!AF7:AF18)</f>
        <v>1</v>
      </c>
      <c r="G6" s="134"/>
      <c r="H6" s="137">
        <f>Tableau1[[#This Row],[Date début]]</f>
        <v>43844</v>
      </c>
      <c r="J6" s="154">
        <v>8</v>
      </c>
      <c r="K6" s="133" t="s">
        <v>121</v>
      </c>
    </row>
    <row r="7" spans="1:11">
      <c r="A7" s="133" t="s">
        <v>181</v>
      </c>
      <c r="B7" s="133" t="s">
        <v>101</v>
      </c>
      <c r="C7" s="134">
        <v>43845</v>
      </c>
      <c r="D7" s="134">
        <v>43845</v>
      </c>
      <c r="E7" s="136" t="str">
        <f>VLOOKUP(Tableau1[[#This Row],[Type]],LISTES!$A$2:$O$61,2,0)</f>
        <v>CDT</v>
      </c>
      <c r="F7" s="136">
        <f>NETWORKDAYS.INTL(C7,D7,11,CALENDRIER!AF8:AF19)</f>
        <v>1</v>
      </c>
      <c r="G7" s="134"/>
      <c r="H7" s="137">
        <f>Tableau1[[#This Row],[Date début]]</f>
        <v>43845</v>
      </c>
    </row>
    <row r="8" spans="1:11">
      <c r="A8" s="133" t="s">
        <v>181</v>
      </c>
      <c r="B8" s="133" t="s">
        <v>87</v>
      </c>
      <c r="C8" s="134">
        <v>43846</v>
      </c>
      <c r="D8" s="134">
        <v>43846</v>
      </c>
      <c r="E8" s="136" t="str">
        <f>VLOOKUP(Tableau1[[#This Row],[Type]],LISTES!$A$2:$O$61,2,0)</f>
        <v>INF</v>
      </c>
      <c r="F8" s="136">
        <f>NETWORKDAYS.INTL(C8,D8,11,CALENDRIER!AF9:AF20)</f>
        <v>1</v>
      </c>
      <c r="G8" s="134"/>
      <c r="H8" s="137">
        <f>Tableau1[[#This Row],[Date début]]</f>
        <v>43846</v>
      </c>
      <c r="J8" s="154">
        <v>8</v>
      </c>
      <c r="K8" s="133" t="s">
        <v>121</v>
      </c>
    </row>
    <row r="9" spans="1:11">
      <c r="A9" s="133" t="s">
        <v>181</v>
      </c>
      <c r="B9" s="133" t="s">
        <v>113</v>
      </c>
      <c r="C9" s="134">
        <v>43847</v>
      </c>
      <c r="D9" s="134">
        <v>43847</v>
      </c>
      <c r="E9" s="136" t="str">
        <f>VLOOKUP(Tableau1[[#This Row],[Type]],LISTES!$A$2:$O$61,2,0)</f>
        <v>REP</v>
      </c>
      <c r="F9" s="136">
        <f>NETWORKDAYS.INTL(C9,D9,11,CALENDRIER!AF10:AF21)</f>
        <v>1</v>
      </c>
      <c r="G9" s="134"/>
      <c r="H9" s="137">
        <f>Tableau1[[#This Row],[Date début]]</f>
        <v>43847</v>
      </c>
    </row>
    <row r="10" spans="1:11">
      <c r="A10" s="133" t="s">
        <v>181</v>
      </c>
      <c r="B10" s="133" t="s">
        <v>101</v>
      </c>
      <c r="C10" s="134">
        <v>43848</v>
      </c>
      <c r="D10" s="134">
        <v>43848</v>
      </c>
      <c r="E10" s="136" t="str">
        <f>VLOOKUP(Tableau1[[#This Row],[Type]],LISTES!$A$2:$O$61,2,0)</f>
        <v>CDT</v>
      </c>
      <c r="F10" s="136">
        <f>NETWORKDAYS.INTL(C10,D10,11,CALENDRIER!AF11:AF22)</f>
        <v>1</v>
      </c>
      <c r="G10" s="134"/>
      <c r="H10" s="137">
        <f>Tableau1[[#This Row],[Date début]]</f>
        <v>43848</v>
      </c>
    </row>
    <row r="11" spans="1:11">
      <c r="A11" s="133" t="s">
        <v>181</v>
      </c>
      <c r="B11" s="133" t="s">
        <v>85</v>
      </c>
      <c r="C11" s="134">
        <v>43850</v>
      </c>
      <c r="D11" s="134">
        <v>43854</v>
      </c>
      <c r="E11" s="136" t="str">
        <f>VLOOKUP(Tableau1[[#This Row],[Type]],LISTES!$A$2:$O$61,2,0)</f>
        <v>AR</v>
      </c>
      <c r="F11" s="136">
        <f>NETWORKDAYS.INTL(C11,D11,11,CALENDRIER!AF12:AF23)</f>
        <v>5</v>
      </c>
      <c r="G11" s="134"/>
      <c r="H11" s="137">
        <f>Tableau1[[#This Row],[Date début]]</f>
        <v>43850</v>
      </c>
      <c r="I11" s="154">
        <v>37.5</v>
      </c>
      <c r="K11" s="151" t="s">
        <v>135</v>
      </c>
    </row>
    <row r="12" spans="1:11">
      <c r="A12" s="133" t="s">
        <v>181</v>
      </c>
      <c r="B12" s="133" t="s">
        <v>113</v>
      </c>
      <c r="C12" s="134">
        <v>43855</v>
      </c>
      <c r="D12" s="134">
        <v>43855</v>
      </c>
      <c r="E12" s="136" t="str">
        <f>VLOOKUP(Tableau1[[#This Row],[Type]],LISTES!$A$2:$O$61,2,0)</f>
        <v>REP</v>
      </c>
      <c r="F12" s="136">
        <f>NETWORKDAYS.INTL(C12,D12,11,CALENDRIER!AF13:AF24)</f>
        <v>1</v>
      </c>
      <c r="G12" s="134"/>
      <c r="H12" s="137">
        <f>Tableau1[[#This Row],[Date début]]</f>
        <v>43855</v>
      </c>
    </row>
    <row r="13" spans="1:11">
      <c r="A13" s="133" t="s">
        <v>181</v>
      </c>
      <c r="B13" s="133" t="s">
        <v>85</v>
      </c>
      <c r="C13" s="134">
        <v>43857</v>
      </c>
      <c r="D13" s="134">
        <v>43861</v>
      </c>
      <c r="E13" s="136" t="str">
        <f>VLOOKUP(Tableau1[[#This Row],[Type]],LISTES!$A$2:$O$61,2,0)</f>
        <v>AR</v>
      </c>
      <c r="F13" s="136">
        <f>NETWORKDAYS.INTL(C13,D13,11,CALENDRIER!AF14:AF25)</f>
        <v>5</v>
      </c>
      <c r="G13" s="134"/>
      <c r="H13" s="137">
        <f>Tableau1[[#This Row],[Date début]]</f>
        <v>43857</v>
      </c>
      <c r="I13" s="154">
        <v>37.5</v>
      </c>
      <c r="K13" s="151" t="s">
        <v>135</v>
      </c>
    </row>
    <row r="14" spans="1:11">
      <c r="A14" s="133" t="s">
        <v>181</v>
      </c>
      <c r="B14" s="133" t="s">
        <v>113</v>
      </c>
      <c r="C14" s="134">
        <v>43862</v>
      </c>
      <c r="D14" s="134">
        <v>43862</v>
      </c>
      <c r="E14" s="136" t="str">
        <f>VLOOKUP(Tableau1[[#This Row],[Type]],LISTES!$A$2:$O$61,2,0)</f>
        <v>REP</v>
      </c>
      <c r="F14" s="136">
        <f>NETWORKDAYS.INTL(C14,D14,11,CALENDRIER!AF15:AF26)</f>
        <v>1</v>
      </c>
      <c r="G14" s="134"/>
      <c r="H14" s="137">
        <f>Tableau1[[#This Row],[Date début]]</f>
        <v>43862</v>
      </c>
    </row>
    <row r="15" spans="1:11">
      <c r="A15" s="133" t="s">
        <v>181</v>
      </c>
      <c r="B15" s="133" t="s">
        <v>101</v>
      </c>
      <c r="C15" s="134">
        <v>43864</v>
      </c>
      <c r="D15" s="134">
        <v>43864</v>
      </c>
      <c r="E15" s="136" t="str">
        <f>VLOOKUP(Tableau1[[#This Row],[Type]],LISTES!$A$2:$O$61,2,0)</f>
        <v>CDT</v>
      </c>
      <c r="F15" s="136">
        <f>NETWORKDAYS.INTL(C15,D15,11,CALENDRIER!AF16:AF27)</f>
        <v>1</v>
      </c>
      <c r="G15" s="134"/>
      <c r="H15" s="137">
        <f>Tableau1[[#This Row],[Date début]]</f>
        <v>43864</v>
      </c>
    </row>
    <row r="16" spans="1:11">
      <c r="A16" s="133" t="s">
        <v>181</v>
      </c>
      <c r="B16" s="133" t="s">
        <v>87</v>
      </c>
      <c r="C16" s="134">
        <v>43865</v>
      </c>
      <c r="D16" s="134">
        <v>43865</v>
      </c>
      <c r="E16" s="136" t="str">
        <f>VLOOKUP(Tableau1[[#This Row],[Type]],LISTES!$A$2:$O$61,2,0)</f>
        <v>INF</v>
      </c>
      <c r="F16" s="136">
        <f>NETWORKDAYS.INTL(C16,D16,11,CALENDRIER!AF17:AF28)</f>
        <v>1</v>
      </c>
      <c r="G16" s="134"/>
      <c r="H16" s="137">
        <f>Tableau1[[#This Row],[Date début]]</f>
        <v>43865</v>
      </c>
      <c r="J16" s="154">
        <v>8</v>
      </c>
      <c r="K16" s="133" t="s">
        <v>121</v>
      </c>
    </row>
    <row r="17" spans="1:11">
      <c r="A17" s="133" t="s">
        <v>181</v>
      </c>
      <c r="B17" s="133" t="s">
        <v>101</v>
      </c>
      <c r="C17" s="134">
        <v>43866</v>
      </c>
      <c r="D17" s="134">
        <v>43866</v>
      </c>
      <c r="E17" s="136" t="str">
        <f>VLOOKUP(Tableau1[[#This Row],[Type]],LISTES!$A$2:$O$61,2,0)</f>
        <v>CDT</v>
      </c>
      <c r="F17" s="136">
        <f>NETWORKDAYS.INTL(C17,D17,11,CALENDRIER!AF18:AF29)</f>
        <v>1</v>
      </c>
      <c r="G17" s="134"/>
      <c r="H17" s="137">
        <f>Tableau1[[#This Row],[Date début]]</f>
        <v>43866</v>
      </c>
    </row>
    <row r="18" spans="1:11">
      <c r="A18" s="133" t="s">
        <v>181</v>
      </c>
      <c r="B18" s="133" t="s">
        <v>113</v>
      </c>
      <c r="C18" s="134">
        <v>43867</v>
      </c>
      <c r="D18" s="134">
        <f>Tableau1[[#This Row],[Date début]]</f>
        <v>43867</v>
      </c>
      <c r="E18" s="136" t="str">
        <f>VLOOKUP(Tableau1[[#This Row],[Type]],LISTES!$A$2:$O$61,2,0)</f>
        <v>REP</v>
      </c>
      <c r="F18" s="136">
        <f>NETWORKDAYS.INTL(C18,D18,11,CALENDRIER!AF19:AF30)</f>
        <v>1</v>
      </c>
      <c r="G18" s="134"/>
      <c r="H18" s="137">
        <f>Tableau1[[#This Row],[Date début]]</f>
        <v>43867</v>
      </c>
    </row>
    <row r="19" spans="1:11">
      <c r="A19" s="133" t="s">
        <v>181</v>
      </c>
      <c r="B19" s="133" t="s">
        <v>87</v>
      </c>
      <c r="C19" s="134">
        <v>43868</v>
      </c>
      <c r="D19" s="134">
        <f>Tableau1[[#This Row],[Date début]]</f>
        <v>43868</v>
      </c>
      <c r="E19" s="136" t="str">
        <f>VLOOKUP(Tableau1[[#This Row],[Type]],LISTES!$A$2:$O$61,2,0)</f>
        <v>INF</v>
      </c>
      <c r="F19" s="136">
        <f>NETWORKDAYS.INTL(C19,D19,11,CALENDRIER!AF20:AF31)</f>
        <v>1</v>
      </c>
      <c r="G19" s="134"/>
      <c r="H19" s="137">
        <f>Tableau1[[#This Row],[Date début]]</f>
        <v>43868</v>
      </c>
      <c r="J19" s="154">
        <v>8</v>
      </c>
      <c r="K19" s="133" t="s">
        <v>121</v>
      </c>
    </row>
    <row r="20" spans="1:11">
      <c r="A20" s="133" t="s">
        <v>181</v>
      </c>
      <c r="B20" s="133" t="s">
        <v>113</v>
      </c>
      <c r="C20" s="134">
        <v>43869</v>
      </c>
      <c r="D20" s="134">
        <f>Tableau1[[#This Row],[Date début]]</f>
        <v>43869</v>
      </c>
      <c r="E20" s="136" t="str">
        <f>VLOOKUP(Tableau1[[#This Row],[Type]],LISTES!$A$2:$O$61,2,0)</f>
        <v>REP</v>
      </c>
      <c r="F20" s="136">
        <f>NETWORKDAYS.INTL(C20,D20,11,CALENDRIER!AF21:AF32)</f>
        <v>1</v>
      </c>
      <c r="G20" s="134"/>
      <c r="H20" s="137">
        <f>Tableau1[[#This Row],[Date début]]</f>
        <v>43869</v>
      </c>
    </row>
    <row r="21" spans="1:11">
      <c r="A21" s="133" t="s">
        <v>181</v>
      </c>
      <c r="B21" s="133" t="s">
        <v>101</v>
      </c>
      <c r="C21" s="134">
        <v>43871</v>
      </c>
      <c r="D21" s="134">
        <f>Tableau1[[#This Row],[Date début]]</f>
        <v>43871</v>
      </c>
      <c r="E21" s="136" t="str">
        <f>VLOOKUP(Tableau1[[#This Row],[Type]],LISTES!$A$2:$O$61,2,0)</f>
        <v>CDT</v>
      </c>
      <c r="F21" s="136">
        <f>NETWORKDAYS.INTL(C21,D21,11,CALENDRIER!AF22:AF33)</f>
        <v>1</v>
      </c>
      <c r="G21" s="134"/>
      <c r="H21" s="137">
        <f>Tableau1[[#This Row],[Date début]]</f>
        <v>43871</v>
      </c>
    </row>
    <row r="22" spans="1:11">
      <c r="A22" s="133" t="s">
        <v>181</v>
      </c>
      <c r="B22" s="133" t="s">
        <v>87</v>
      </c>
      <c r="C22" s="134">
        <v>43872</v>
      </c>
      <c r="D22" s="134">
        <f>Tableau1[[#This Row],[Date début]]</f>
        <v>43872</v>
      </c>
      <c r="E22" s="136" t="str">
        <f>VLOOKUP(Tableau1[[#This Row],[Type]],LISTES!$A$2:$O$61,2,0)</f>
        <v>INF</v>
      </c>
      <c r="F22" s="136">
        <f>NETWORKDAYS.INTL(C22,D22,11,CALENDRIER!AF23:AF34)</f>
        <v>1</v>
      </c>
      <c r="G22" s="134"/>
      <c r="H22" s="137">
        <f>Tableau1[[#This Row],[Date début]]</f>
        <v>43872</v>
      </c>
      <c r="J22" s="154">
        <v>8</v>
      </c>
      <c r="K22" s="133" t="s">
        <v>121</v>
      </c>
    </row>
    <row r="23" spans="1:11">
      <c r="A23" s="133" t="s">
        <v>181</v>
      </c>
      <c r="B23" s="133" t="s">
        <v>101</v>
      </c>
      <c r="C23" s="134">
        <v>43873</v>
      </c>
      <c r="D23" s="134">
        <f>Tableau1[[#This Row],[Date début]]</f>
        <v>43873</v>
      </c>
      <c r="E23" s="136" t="str">
        <f>VLOOKUP(Tableau1[[#This Row],[Type]],LISTES!$A$2:$O$61,2,0)</f>
        <v>CDT</v>
      </c>
      <c r="F23" s="136">
        <f>NETWORKDAYS.INTL(C23,D23,11,CALENDRIER!AF24:AF35)</f>
        <v>1</v>
      </c>
      <c r="G23" s="134"/>
      <c r="H23" s="137">
        <f>Tableau1[[#This Row],[Date début]]</f>
        <v>43873</v>
      </c>
    </row>
    <row r="24" spans="1:11">
      <c r="A24" s="133" t="s">
        <v>181</v>
      </c>
      <c r="B24" s="133" t="s">
        <v>87</v>
      </c>
      <c r="C24" s="134">
        <v>43874</v>
      </c>
      <c r="D24" s="134">
        <f>Tableau1[[#This Row],[Date début]]</f>
        <v>43874</v>
      </c>
      <c r="E24" s="136" t="str">
        <f>VLOOKUP(Tableau1[[#This Row],[Type]],LISTES!$A$2:$O$61,2,0)</f>
        <v>INF</v>
      </c>
      <c r="F24" s="136">
        <f>NETWORKDAYS.INTL(C24,D24,11,CALENDRIER!AF25:AF36)</f>
        <v>1</v>
      </c>
      <c r="G24" s="134"/>
      <c r="H24" s="137">
        <f>Tableau1[[#This Row],[Date début]]</f>
        <v>43874</v>
      </c>
      <c r="J24" s="154">
        <v>8</v>
      </c>
      <c r="K24" s="133" t="s">
        <v>121</v>
      </c>
    </row>
    <row r="25" spans="1:11">
      <c r="A25" s="133" t="s">
        <v>181</v>
      </c>
      <c r="B25" s="133" t="s">
        <v>101</v>
      </c>
      <c r="C25" s="134">
        <v>43875</v>
      </c>
      <c r="D25" s="134">
        <f>Tableau1[[#This Row],[Date début]]</f>
        <v>43875</v>
      </c>
      <c r="E25" s="136" t="str">
        <f>VLOOKUP(Tableau1[[#This Row],[Type]],LISTES!$A$2:$O$61,2,0)</f>
        <v>CDT</v>
      </c>
      <c r="F25" s="136">
        <f>NETWORKDAYS.INTL(C25,D25,11,CALENDRIER!AF26:AF37)</f>
        <v>1</v>
      </c>
      <c r="G25" s="134"/>
      <c r="H25" s="137">
        <f>Tableau1[[#This Row],[Date début]]</f>
        <v>43875</v>
      </c>
    </row>
    <row r="26" spans="1:11">
      <c r="A26" s="133" t="s">
        <v>181</v>
      </c>
      <c r="B26" s="133" t="s">
        <v>113</v>
      </c>
      <c r="C26" s="134">
        <v>43876</v>
      </c>
      <c r="D26" s="134">
        <f>Tableau1[[#This Row],[Date début]]</f>
        <v>43876</v>
      </c>
      <c r="E26" s="136" t="str">
        <f>VLOOKUP(Tableau1[[#This Row],[Type]],LISTES!$A$2:$O$61,2,0)</f>
        <v>REP</v>
      </c>
      <c r="F26" s="136">
        <f>NETWORKDAYS.INTL(C26,D26,11,CALENDRIER!AF27:AF38)</f>
        <v>1</v>
      </c>
      <c r="G26" s="134"/>
      <c r="H26" s="137">
        <f>Tableau1[[#This Row],[Date début]]</f>
        <v>43876</v>
      </c>
    </row>
    <row r="27" spans="1:11">
      <c r="A27" s="133" t="s">
        <v>181</v>
      </c>
      <c r="B27" s="133" t="s">
        <v>113</v>
      </c>
      <c r="C27" s="134">
        <v>43878</v>
      </c>
      <c r="D27" s="134">
        <f>Tableau1[[#This Row],[Date début]]</f>
        <v>43878</v>
      </c>
      <c r="E27" s="136" t="str">
        <f>VLOOKUP(Tableau1[[#This Row],[Type]],LISTES!$A$2:$O$61,2,0)</f>
        <v>REP</v>
      </c>
      <c r="F27" s="136">
        <f>NETWORKDAYS.INTL(C27,D27,11,CALENDRIER!AF28:AF39)</f>
        <v>1</v>
      </c>
      <c r="G27" s="134"/>
      <c r="H27" s="137">
        <f>Tableau1[[#This Row],[Date début]]</f>
        <v>43878</v>
      </c>
    </row>
    <row r="28" spans="1:11">
      <c r="A28" s="133" t="s">
        <v>181</v>
      </c>
      <c r="B28" s="133" t="s">
        <v>101</v>
      </c>
      <c r="C28" s="134">
        <v>43879</v>
      </c>
      <c r="D28" s="134">
        <f>Tableau1[[#This Row],[Date début]]</f>
        <v>43879</v>
      </c>
      <c r="E28" s="136" t="str">
        <f>VLOOKUP(Tableau1[[#This Row],[Type]],LISTES!$A$2:$O$61,2,0)</f>
        <v>CDT</v>
      </c>
      <c r="F28" s="136">
        <f>NETWORKDAYS.INTL(C28,D28,11,CALENDRIER!AF29:AF40)</f>
        <v>1</v>
      </c>
      <c r="G28" s="134"/>
      <c r="H28" s="137">
        <f>Tableau1[[#This Row],[Date début]]</f>
        <v>43879</v>
      </c>
    </row>
    <row r="29" spans="1:11">
      <c r="A29" s="133" t="s">
        <v>181</v>
      </c>
      <c r="B29" s="133" t="s">
        <v>87</v>
      </c>
      <c r="C29" s="134">
        <v>43880</v>
      </c>
      <c r="D29" s="134">
        <f>Tableau1[[#This Row],[Date début]]</f>
        <v>43880</v>
      </c>
      <c r="E29" s="136" t="str">
        <f>VLOOKUP(Tableau1[[#This Row],[Type]],LISTES!$A$2:$O$61,2,0)</f>
        <v>INF</v>
      </c>
      <c r="F29" s="136">
        <f>NETWORKDAYS.INTL(C29,D29,11,CALENDRIER!AF30:AF41)</f>
        <v>1</v>
      </c>
      <c r="G29" s="134"/>
      <c r="H29" s="137">
        <f>Tableau1[[#This Row],[Date début]]</f>
        <v>43880</v>
      </c>
      <c r="J29" s="154">
        <v>8</v>
      </c>
      <c r="K29" s="133" t="s">
        <v>121</v>
      </c>
    </row>
    <row r="30" spans="1:11">
      <c r="A30" s="133" t="s">
        <v>181</v>
      </c>
      <c r="B30" s="133" t="s">
        <v>101</v>
      </c>
      <c r="C30" s="134">
        <v>43881</v>
      </c>
      <c r="D30" s="134">
        <f>Tableau1[[#This Row],[Date début]]</f>
        <v>43881</v>
      </c>
      <c r="E30" s="136" t="str">
        <f>VLOOKUP(Tableau1[[#This Row],[Type]],LISTES!$A$2:$O$61,2,0)</f>
        <v>CDT</v>
      </c>
      <c r="F30" s="136">
        <f>NETWORKDAYS.INTL(C30,D30,11,CALENDRIER!AF31:AF42)</f>
        <v>1</v>
      </c>
      <c r="G30" s="134"/>
      <c r="H30" s="137">
        <f>Tableau1[[#This Row],[Date début]]</f>
        <v>43881</v>
      </c>
    </row>
    <row r="31" spans="1:11">
      <c r="A31" s="133" t="s">
        <v>181</v>
      </c>
      <c r="B31" s="133" t="s">
        <v>87</v>
      </c>
      <c r="C31" s="134">
        <v>43882</v>
      </c>
      <c r="D31" s="134">
        <f>Tableau1[[#This Row],[Date début]]</f>
        <v>43882</v>
      </c>
      <c r="E31" s="136" t="str">
        <f>VLOOKUP(Tableau1[[#This Row],[Type]],LISTES!$A$2:$O$61,2,0)</f>
        <v>INF</v>
      </c>
      <c r="F31" s="136">
        <f>NETWORKDAYS.INTL(C31,D31,11,CALENDRIER!AF32:AF43)</f>
        <v>1</v>
      </c>
      <c r="G31" s="134"/>
      <c r="H31" s="137">
        <f>Tableau1[[#This Row],[Date début]]</f>
        <v>43882</v>
      </c>
      <c r="J31" s="154">
        <v>8</v>
      </c>
      <c r="K31" s="133" t="s">
        <v>121</v>
      </c>
    </row>
    <row r="32" spans="1:11">
      <c r="A32" s="133" t="s">
        <v>181</v>
      </c>
      <c r="B32" s="133" t="s">
        <v>101</v>
      </c>
      <c r="C32" s="134">
        <v>43883</v>
      </c>
      <c r="D32" s="134">
        <f>Tableau1[[#This Row],[Date début]]</f>
        <v>43883</v>
      </c>
      <c r="E32" s="136" t="str">
        <f>VLOOKUP(Tableau1[[#This Row],[Type]],LISTES!$A$2:$O$61,2,0)</f>
        <v>CDT</v>
      </c>
      <c r="F32" s="136">
        <f>NETWORKDAYS.INTL(C32,D32,11,CALENDRIER!AF33:AF44)</f>
        <v>1</v>
      </c>
      <c r="G32" s="134"/>
      <c r="H32" s="137">
        <f>Tableau1[[#This Row],[Date début]]</f>
        <v>43883</v>
      </c>
    </row>
    <row r="33" spans="1:11">
      <c r="A33" s="133" t="s">
        <v>181</v>
      </c>
      <c r="B33" s="133" t="s">
        <v>101</v>
      </c>
      <c r="C33" s="134">
        <v>43885</v>
      </c>
      <c r="D33" s="134">
        <f>Tableau1[[#This Row],[Date début]]</f>
        <v>43885</v>
      </c>
      <c r="E33" s="136" t="str">
        <f>VLOOKUP(Tableau1[[#This Row],[Type]],LISTES!$A$2:$O$61,2,0)</f>
        <v>CDT</v>
      </c>
      <c r="F33" s="136">
        <f>NETWORKDAYS.INTL(C33,D33,11,CALENDRIER!AF34:AF45)</f>
        <v>1</v>
      </c>
      <c r="G33" s="134"/>
      <c r="H33" s="137">
        <f>Tableau1[[#This Row],[Date début]]</f>
        <v>43885</v>
      </c>
    </row>
    <row r="34" spans="1:11">
      <c r="A34" s="133" t="s">
        <v>181</v>
      </c>
      <c r="B34" s="133" t="s">
        <v>87</v>
      </c>
      <c r="C34" s="134">
        <v>43886</v>
      </c>
      <c r="D34" s="134">
        <f>Tableau1[[#This Row],[Date début]]</f>
        <v>43886</v>
      </c>
      <c r="E34" s="136" t="str">
        <f>VLOOKUP(Tableau1[[#This Row],[Type]],LISTES!$A$2:$O$61,2,0)</f>
        <v>INF</v>
      </c>
      <c r="F34" s="136">
        <f>NETWORKDAYS.INTL(C34,D34,11,CALENDRIER!AF35:AF46)</f>
        <v>1</v>
      </c>
      <c r="G34" s="134"/>
      <c r="H34" s="137">
        <f>Tableau1[[#This Row],[Date début]]</f>
        <v>43886</v>
      </c>
      <c r="J34" s="154">
        <v>8</v>
      </c>
      <c r="K34" s="133" t="s">
        <v>121</v>
      </c>
    </row>
    <row r="35" spans="1:11">
      <c r="A35" s="133" t="s">
        <v>181</v>
      </c>
      <c r="B35" s="133" t="s">
        <v>113</v>
      </c>
      <c r="C35" s="134">
        <v>43887</v>
      </c>
      <c r="D35" s="134">
        <f>Tableau1[[#This Row],[Date début]]</f>
        <v>43887</v>
      </c>
      <c r="E35" s="136" t="str">
        <f>VLOOKUP(Tableau1[[#This Row],[Type]],LISTES!$A$2:$O$61,2,0)</f>
        <v>REP</v>
      </c>
      <c r="F35" s="136">
        <f>NETWORKDAYS.INTL(C35,D35,11,CALENDRIER!AF36:AF47)</f>
        <v>1</v>
      </c>
      <c r="G35" s="134"/>
      <c r="H35" s="137">
        <f>Tableau1[[#This Row],[Date début]]</f>
        <v>43887</v>
      </c>
    </row>
    <row r="36" spans="1:11">
      <c r="A36" s="133" t="s">
        <v>181</v>
      </c>
      <c r="B36" s="133" t="s">
        <v>87</v>
      </c>
      <c r="C36" s="134">
        <v>43888</v>
      </c>
      <c r="D36" s="134">
        <f>Tableau1[[#This Row],[Date début]]</f>
        <v>43888</v>
      </c>
      <c r="E36" s="136" t="str">
        <f>VLOOKUP(Tableau1[[#This Row],[Type]],LISTES!$A$2:$O$61,2,0)</f>
        <v>INF</v>
      </c>
      <c r="F36" s="136">
        <f>NETWORKDAYS.INTL(C36,D36,11,CALENDRIER!AF37:AF48)</f>
        <v>1</v>
      </c>
      <c r="G36" s="134"/>
      <c r="H36" s="137">
        <f>Tableau1[[#This Row],[Date début]]</f>
        <v>43888</v>
      </c>
      <c r="J36" s="154">
        <v>8</v>
      </c>
      <c r="K36" s="133" t="s">
        <v>121</v>
      </c>
    </row>
    <row r="37" spans="1:11">
      <c r="A37" s="133" t="s">
        <v>181</v>
      </c>
      <c r="B37" s="133" t="s">
        <v>27</v>
      </c>
      <c r="C37" s="134">
        <v>43889</v>
      </c>
      <c r="D37" s="134">
        <v>43890</v>
      </c>
      <c r="E37" s="136" t="str">
        <f>VLOOKUP(Tableau1[[#This Row],[Type]],LISTES!$A$2:$O$61,2,0)</f>
        <v>CP</v>
      </c>
      <c r="F37" s="136">
        <f>NETWORKDAYS.INTL(C37,D37,11,CALENDRIER!AF38:AF49)</f>
        <v>2</v>
      </c>
      <c r="G37" s="134" t="s">
        <v>26</v>
      </c>
      <c r="H37" s="137">
        <f>Tableau1[[#This Row],[Date début]]</f>
        <v>43889</v>
      </c>
    </row>
    <row r="38" spans="1:11">
      <c r="A38" s="133" t="s">
        <v>181</v>
      </c>
      <c r="B38" s="133" t="s">
        <v>101</v>
      </c>
      <c r="C38" s="134">
        <v>43892</v>
      </c>
      <c r="D38" s="134">
        <f>Tableau1[[#This Row],[Date début]]</f>
        <v>43892</v>
      </c>
      <c r="E38" s="136" t="str">
        <f>VLOOKUP(Tableau1[[#This Row],[Type]],LISTES!$A$2:$O$61,2,0)</f>
        <v>CDT</v>
      </c>
      <c r="F38" s="136">
        <f>NETWORKDAYS.INTL(C38,D38,11,CALENDRIER!AF39:AF50)</f>
        <v>1</v>
      </c>
      <c r="G38" s="134"/>
      <c r="H38" s="137">
        <f>Tableau1[[#This Row],[Date début]]</f>
        <v>43892</v>
      </c>
    </row>
    <row r="39" spans="1:11">
      <c r="A39" s="133" t="s">
        <v>181</v>
      </c>
      <c r="B39" s="133" t="s">
        <v>87</v>
      </c>
      <c r="C39" s="134">
        <v>43893</v>
      </c>
      <c r="D39" s="134">
        <f>Tableau1[[#This Row],[Date début]]</f>
        <v>43893</v>
      </c>
      <c r="E39" s="136" t="str">
        <f>VLOOKUP(Tableau1[[#This Row],[Type]],LISTES!$A$2:$O$61,2,0)</f>
        <v>INF</v>
      </c>
      <c r="F39" s="136">
        <f>NETWORKDAYS.INTL(C39,D39,11,CALENDRIER!AF40:AF51)</f>
        <v>1</v>
      </c>
      <c r="G39" s="134"/>
      <c r="H39" s="137">
        <f>Tableau1[[#This Row],[Date début]]</f>
        <v>43893</v>
      </c>
      <c r="J39" s="154">
        <v>8</v>
      </c>
      <c r="K39" s="133" t="s">
        <v>121</v>
      </c>
    </row>
    <row r="40" spans="1:11">
      <c r="A40" s="133" t="s">
        <v>181</v>
      </c>
      <c r="B40" s="133" t="s">
        <v>101</v>
      </c>
      <c r="C40" s="134">
        <v>43894</v>
      </c>
      <c r="D40" s="134">
        <f>Tableau1[[#This Row],[Date début]]</f>
        <v>43894</v>
      </c>
      <c r="E40" s="136" t="str">
        <f>VLOOKUP(Tableau1[[#This Row],[Type]],LISTES!$A$2:$O$61,2,0)</f>
        <v>CDT</v>
      </c>
      <c r="F40" s="136">
        <f>NETWORKDAYS.INTL(C40,D40,11,CALENDRIER!AF41:AF52)</f>
        <v>1</v>
      </c>
      <c r="G40" s="134"/>
      <c r="H40" s="137">
        <f>Tableau1[[#This Row],[Date début]]</f>
        <v>43894</v>
      </c>
    </row>
    <row r="41" spans="1:11">
      <c r="A41" s="133" t="s">
        <v>181</v>
      </c>
      <c r="B41" s="133" t="s">
        <v>87</v>
      </c>
      <c r="C41" s="134">
        <v>43895</v>
      </c>
      <c r="D41" s="134">
        <f>Tableau1[[#This Row],[Date début]]</f>
        <v>43895</v>
      </c>
      <c r="E41" s="136" t="str">
        <f>VLOOKUP(Tableau1[[#This Row],[Type]],LISTES!$A$2:$O$61,2,0)</f>
        <v>INF</v>
      </c>
      <c r="F41" s="136">
        <f>NETWORKDAYS.INTL(C41,D41,11,CALENDRIER!AF42:AF53)</f>
        <v>1</v>
      </c>
      <c r="G41" s="134"/>
      <c r="H41" s="137">
        <f>Tableau1[[#This Row],[Date début]]</f>
        <v>43895</v>
      </c>
      <c r="J41" s="154">
        <v>8</v>
      </c>
      <c r="K41" s="133" t="s">
        <v>121</v>
      </c>
    </row>
    <row r="42" spans="1:11">
      <c r="A42" s="133" t="s">
        <v>181</v>
      </c>
      <c r="B42" s="133" t="s">
        <v>113</v>
      </c>
      <c r="C42" s="134">
        <v>43896</v>
      </c>
      <c r="D42" s="134">
        <f>Tableau1[[#This Row],[Date début]]</f>
        <v>43896</v>
      </c>
      <c r="E42" s="136" t="str">
        <f>VLOOKUP(Tableau1[[#This Row],[Type]],LISTES!$A$2:$O$61,2,0)</f>
        <v>REP</v>
      </c>
      <c r="F42" s="136">
        <f>NETWORKDAYS.INTL(C42,D42,11,CALENDRIER!AF43:AF54)</f>
        <v>1</v>
      </c>
      <c r="G42" s="134"/>
      <c r="H42" s="137">
        <f>Tableau1[[#This Row],[Date début]]</f>
        <v>43896</v>
      </c>
    </row>
    <row r="43" spans="1:11">
      <c r="A43" s="133" t="s">
        <v>181</v>
      </c>
      <c r="B43" s="133" t="s">
        <v>101</v>
      </c>
      <c r="C43" s="134">
        <v>43897</v>
      </c>
      <c r="D43" s="134">
        <f>Tableau1[[#This Row],[Date début]]</f>
        <v>43897</v>
      </c>
      <c r="E43" s="136" t="str">
        <f>VLOOKUP(Tableau1[[#This Row],[Type]],LISTES!$A$2:$O$61,2,0)</f>
        <v>CDT</v>
      </c>
      <c r="F43" s="136">
        <f>NETWORKDAYS.INTL(C43,D43,11,CALENDRIER!AF44:AF55)</f>
        <v>1</v>
      </c>
      <c r="G43" s="134"/>
      <c r="H43" s="137">
        <f>Tableau1[[#This Row],[Date début]]</f>
        <v>43897</v>
      </c>
    </row>
    <row r="44" spans="1:11">
      <c r="A44" s="133" t="s">
        <v>181</v>
      </c>
      <c r="B44" s="133" t="s">
        <v>101</v>
      </c>
      <c r="C44" s="134">
        <v>43899</v>
      </c>
      <c r="D44" s="134">
        <f>Tableau1[[#This Row],[Date début]]</f>
        <v>43899</v>
      </c>
      <c r="E44" s="136" t="str">
        <f>VLOOKUP(Tableau1[[#This Row],[Type]],LISTES!$A$2:$O$61,2,0)</f>
        <v>CDT</v>
      </c>
      <c r="F44" s="136">
        <f>NETWORKDAYS.INTL(C44,D44,11,CALENDRIER!AF45:AF56)</f>
        <v>1</v>
      </c>
      <c r="G44" s="134"/>
      <c r="H44" s="137">
        <f>Tableau1[[#This Row],[Date début]]</f>
        <v>43899</v>
      </c>
    </row>
    <row r="45" spans="1:11">
      <c r="A45" s="133" t="s">
        <v>181</v>
      </c>
      <c r="B45" s="133" t="s">
        <v>87</v>
      </c>
      <c r="C45" s="134">
        <v>43900</v>
      </c>
      <c r="D45" s="134">
        <f>Tableau1[[#This Row],[Date début]]</f>
        <v>43900</v>
      </c>
      <c r="E45" s="136" t="str">
        <f>VLOOKUP(Tableau1[[#This Row],[Type]],LISTES!$A$2:$O$61,2,0)</f>
        <v>INF</v>
      </c>
      <c r="F45" s="136">
        <f>NETWORKDAYS.INTL(C45,D45,11,CALENDRIER!AF46:AF57)</f>
        <v>1</v>
      </c>
      <c r="G45" s="134"/>
      <c r="H45" s="137">
        <f>Tableau1[[#This Row],[Date début]]</f>
        <v>43900</v>
      </c>
      <c r="J45" s="154">
        <v>8</v>
      </c>
      <c r="K45" s="133" t="s">
        <v>121</v>
      </c>
    </row>
    <row r="46" spans="1:11">
      <c r="A46" s="133" t="s">
        <v>181</v>
      </c>
      <c r="B46" s="133" t="s">
        <v>101</v>
      </c>
      <c r="C46" s="134">
        <v>43901</v>
      </c>
      <c r="D46" s="134">
        <f>Tableau1[[#This Row],[Date début]]</f>
        <v>43901</v>
      </c>
      <c r="E46" s="136" t="str">
        <f>VLOOKUP(Tableau1[[#This Row],[Type]],LISTES!$A$2:$O$61,2,0)</f>
        <v>CDT</v>
      </c>
      <c r="F46" s="136">
        <f>NETWORKDAYS.INTL(C46,D46,11,CALENDRIER!AF47:AF58)</f>
        <v>1</v>
      </c>
      <c r="G46" s="134"/>
      <c r="H46" s="137">
        <f>Tableau1[[#This Row],[Date début]]</f>
        <v>43901</v>
      </c>
    </row>
    <row r="47" spans="1:11">
      <c r="A47" s="133" t="s">
        <v>181</v>
      </c>
      <c r="B47" s="133" t="s">
        <v>87</v>
      </c>
      <c r="C47" s="134">
        <v>43902</v>
      </c>
      <c r="D47" s="134">
        <f>Tableau1[[#This Row],[Date début]]</f>
        <v>43902</v>
      </c>
      <c r="E47" s="136" t="str">
        <f>VLOOKUP(Tableau1[[#This Row],[Type]],LISTES!$A$2:$O$61,2,0)</f>
        <v>INF</v>
      </c>
      <c r="F47" s="136">
        <f>NETWORKDAYS.INTL(C47,D47,11,CALENDRIER!AF48:AF59)</f>
        <v>1</v>
      </c>
      <c r="G47" s="134"/>
      <c r="H47" s="137">
        <f>Tableau1[[#This Row],[Date début]]</f>
        <v>43902</v>
      </c>
      <c r="J47" s="154">
        <v>8</v>
      </c>
      <c r="K47" s="133" t="s">
        <v>121</v>
      </c>
    </row>
    <row r="48" spans="1:11">
      <c r="A48" s="133" t="s">
        <v>181</v>
      </c>
      <c r="B48" s="133" t="s">
        <v>101</v>
      </c>
      <c r="C48" s="134">
        <v>43903</v>
      </c>
      <c r="D48" s="134">
        <f>Tableau1[[#This Row],[Date début]]</f>
        <v>43903</v>
      </c>
      <c r="E48" s="136" t="str">
        <f>VLOOKUP(Tableau1[[#This Row],[Type]],LISTES!$A$2:$O$61,2,0)</f>
        <v>CDT</v>
      </c>
      <c r="F48" s="136">
        <f>NETWORKDAYS.INTL(C48,D48,11,CALENDRIER!AF49:AF60)</f>
        <v>1</v>
      </c>
      <c r="G48" s="134"/>
      <c r="H48" s="137">
        <f>Tableau1[[#This Row],[Date début]]</f>
        <v>43903</v>
      </c>
    </row>
    <row r="49" spans="1:11">
      <c r="A49" s="133" t="s">
        <v>181</v>
      </c>
      <c r="B49" s="133" t="s">
        <v>113</v>
      </c>
      <c r="C49" s="134">
        <v>43904</v>
      </c>
      <c r="D49" s="134">
        <f>Tableau1[[#This Row],[Date début]]</f>
        <v>43904</v>
      </c>
      <c r="E49" s="136" t="str">
        <f>VLOOKUP(Tableau1[[#This Row],[Type]],LISTES!$A$2:$O$61,2,0)</f>
        <v>REP</v>
      </c>
      <c r="F49" s="136">
        <f>NETWORKDAYS.INTL(C49,D49,11,CALENDRIER!AF50:AF61)</f>
        <v>1</v>
      </c>
      <c r="G49" s="134"/>
      <c r="H49" s="137">
        <f>Tableau1[[#This Row],[Date début]]</f>
        <v>43904</v>
      </c>
    </row>
    <row r="50" spans="1:11">
      <c r="A50" s="133" t="s">
        <v>181</v>
      </c>
      <c r="B50" s="133" t="s">
        <v>101</v>
      </c>
      <c r="C50" s="134">
        <v>43906</v>
      </c>
      <c r="D50" s="134">
        <f>Tableau1[[#This Row],[Date début]]</f>
        <v>43906</v>
      </c>
      <c r="E50" s="136" t="str">
        <f>VLOOKUP(Tableau1[[#This Row],[Type]],LISTES!$A$2:$O$61,2,0)</f>
        <v>CDT</v>
      </c>
      <c r="F50" s="136">
        <f>NETWORKDAYS.INTL(C50,D50,11,CALENDRIER!AF51:AF62)</f>
        <v>1</v>
      </c>
      <c r="G50" s="134"/>
      <c r="H50" s="137">
        <f>Tableau1[[#This Row],[Date début]]</f>
        <v>43906</v>
      </c>
    </row>
    <row r="51" spans="1:11">
      <c r="A51" s="133" t="s">
        <v>181</v>
      </c>
      <c r="B51" s="133" t="s">
        <v>86</v>
      </c>
      <c r="C51" s="134">
        <v>43907</v>
      </c>
      <c r="D51" s="134">
        <v>43910</v>
      </c>
      <c r="E51" s="136" t="str">
        <f>VLOOKUP(Tableau1[[#This Row],[Type]],LISTES!$A$2:$O$61,2,0)</f>
        <v>AIF</v>
      </c>
      <c r="F51" s="136">
        <f>NETWORKDAYS.INTL(C51,D51,11,CALENDRIER!AF52:AF63)</f>
        <v>4</v>
      </c>
      <c r="G51" s="134"/>
      <c r="H51" s="137">
        <f>Tableau1[[#This Row],[Date début]]</f>
        <v>43907</v>
      </c>
      <c r="I51" s="154">
        <v>6</v>
      </c>
      <c r="J51" s="154">
        <v>2</v>
      </c>
      <c r="K51" s="151" t="s">
        <v>137</v>
      </c>
    </row>
    <row r="52" spans="1:11">
      <c r="A52" s="133" t="s">
        <v>181</v>
      </c>
      <c r="B52" s="133" t="s">
        <v>86</v>
      </c>
      <c r="C52" s="134">
        <v>43908</v>
      </c>
      <c r="D52" s="134">
        <v>43908</v>
      </c>
      <c r="E52" s="136" t="str">
        <f>VLOOKUP(Tableau1[[#This Row],[Type]],LISTES!$A$2:$O$61,2,0)</f>
        <v>AIF</v>
      </c>
      <c r="F52" s="136">
        <f>NETWORKDAYS.INTL(C52,D52,11,CALENDRIER!AF54:AF65)</f>
        <v>1</v>
      </c>
      <c r="G52" s="134"/>
      <c r="H52" s="137">
        <f>Tableau1[[#This Row],[Date début]]</f>
        <v>43908</v>
      </c>
      <c r="I52" s="154">
        <v>6</v>
      </c>
      <c r="J52" s="154">
        <v>2</v>
      </c>
      <c r="K52" s="151" t="s">
        <v>137</v>
      </c>
    </row>
    <row r="53" spans="1:11">
      <c r="A53" s="133" t="s">
        <v>181</v>
      </c>
      <c r="B53" s="133" t="s">
        <v>86</v>
      </c>
      <c r="C53" s="134">
        <v>43909</v>
      </c>
      <c r="D53" s="134">
        <v>43909</v>
      </c>
      <c r="E53" s="136" t="str">
        <f>VLOOKUP(Tableau1[[#This Row],[Type]],LISTES!$A$2:$O$61,2,0)</f>
        <v>AIF</v>
      </c>
      <c r="F53" s="136">
        <f>NETWORKDAYS.INTL(C53,D53,11,CALENDRIER!AF54:AF65)</f>
        <v>1</v>
      </c>
      <c r="G53" s="134"/>
      <c r="H53" s="137">
        <f>Tableau1[[#This Row],[Date début]]</f>
        <v>43909</v>
      </c>
      <c r="I53" s="154">
        <v>4</v>
      </c>
      <c r="J53" s="154">
        <v>4</v>
      </c>
      <c r="K53" s="151" t="s">
        <v>137</v>
      </c>
    </row>
    <row r="54" spans="1:11">
      <c r="A54" s="133" t="s">
        <v>181</v>
      </c>
      <c r="B54" s="133" t="s">
        <v>86</v>
      </c>
      <c r="C54" s="134">
        <v>43910</v>
      </c>
      <c r="D54" s="134">
        <v>43910</v>
      </c>
      <c r="E54" s="136" t="str">
        <f>VLOOKUP(Tableau1[[#This Row],[Type]],LISTES!$A$2:$O$61,2,0)</f>
        <v>AIF</v>
      </c>
      <c r="F54" s="136">
        <f>NETWORKDAYS.INTL(C54,D54,11,CALENDRIER!AF54:AF65)</f>
        <v>1</v>
      </c>
      <c r="G54" s="134"/>
      <c r="H54" s="137">
        <f>Tableau1[[#This Row],[Date début]]</f>
        <v>43910</v>
      </c>
      <c r="I54" s="154">
        <v>4</v>
      </c>
      <c r="J54" s="154">
        <v>4</v>
      </c>
      <c r="K54" s="151" t="s">
        <v>137</v>
      </c>
    </row>
    <row r="55" spans="1:11">
      <c r="A55" s="133" t="s">
        <v>181</v>
      </c>
      <c r="B55" s="133" t="s">
        <v>113</v>
      </c>
      <c r="C55" s="134">
        <v>43911</v>
      </c>
      <c r="D55" s="134">
        <f>Tableau1[[#This Row],[Date début]]</f>
        <v>43911</v>
      </c>
      <c r="E55" s="136" t="str">
        <f>VLOOKUP(Tableau1[[#This Row],[Type]],LISTES!$A$2:$O$61,2,0)</f>
        <v>REP</v>
      </c>
      <c r="F55" s="136">
        <f>NETWORKDAYS.INTL(C55,D55,11,CALENDRIER!AF53:AF64)</f>
        <v>1</v>
      </c>
      <c r="G55" s="134"/>
      <c r="H55" s="137">
        <f>Tableau1[[#This Row],[Date début]]</f>
        <v>43911</v>
      </c>
    </row>
    <row r="56" spans="1:11">
      <c r="A56" s="133" t="s">
        <v>181</v>
      </c>
      <c r="B56" s="133" t="s">
        <v>86</v>
      </c>
      <c r="C56" s="134">
        <v>43913</v>
      </c>
      <c r="D56" s="134">
        <v>43913</v>
      </c>
      <c r="E56" s="136" t="str">
        <f>VLOOKUP(Tableau1[[#This Row],[Type]],LISTES!$A$2:$O$61,2,0)</f>
        <v>AIF</v>
      </c>
      <c r="F56" s="136">
        <f>NETWORKDAYS.INTL(C56,D56,11,CALENDRIER!AF57:AF68)</f>
        <v>1</v>
      </c>
      <c r="G56" s="134"/>
      <c r="H56" s="137">
        <f>Tableau1[[#This Row],[Date début]]</f>
        <v>43913</v>
      </c>
      <c r="I56" s="154">
        <v>4</v>
      </c>
      <c r="J56" s="154">
        <v>4</v>
      </c>
      <c r="K56" s="151" t="s">
        <v>137</v>
      </c>
    </row>
    <row r="57" spans="1:11">
      <c r="A57" s="133" t="s">
        <v>181</v>
      </c>
      <c r="B57" s="133" t="s">
        <v>86</v>
      </c>
      <c r="C57" s="134">
        <v>43914</v>
      </c>
      <c r="D57" s="134">
        <v>43914</v>
      </c>
      <c r="E57" s="136" t="str">
        <f>VLOOKUP(Tableau1[[#This Row],[Type]],LISTES!$A$2:$O$61,2,0)</f>
        <v>AIF</v>
      </c>
      <c r="F57" s="136">
        <f>NETWORKDAYS.INTL(C57,D57,11,CALENDRIER!AF59:AF70)</f>
        <v>1</v>
      </c>
      <c r="G57" s="134"/>
      <c r="H57" s="137">
        <f>Tableau1[[#This Row],[Date début]]</f>
        <v>43914</v>
      </c>
      <c r="I57" s="154">
        <v>4</v>
      </c>
      <c r="J57" s="154">
        <v>4</v>
      </c>
      <c r="K57" s="151" t="s">
        <v>137</v>
      </c>
    </row>
    <row r="58" spans="1:11">
      <c r="A58" s="133" t="s">
        <v>181</v>
      </c>
      <c r="B58" s="133" t="s">
        <v>86</v>
      </c>
      <c r="C58" s="134">
        <v>43915</v>
      </c>
      <c r="D58" s="134">
        <v>43915</v>
      </c>
      <c r="E58" s="136" t="str">
        <f>VLOOKUP(Tableau1[[#This Row],[Type]],LISTES!$A$2:$O$61,2,0)</f>
        <v>AIF</v>
      </c>
      <c r="F58" s="136">
        <f>NETWORKDAYS.INTL(C58,D58,11,CALENDRIER!AF59:AF70)</f>
        <v>1</v>
      </c>
      <c r="G58" s="134"/>
      <c r="H58" s="137">
        <f>Tableau1[[#This Row],[Date début]]</f>
        <v>43915</v>
      </c>
      <c r="I58" s="154">
        <v>4</v>
      </c>
      <c r="J58" s="154">
        <v>4</v>
      </c>
      <c r="K58" s="151" t="s">
        <v>137</v>
      </c>
    </row>
    <row r="59" spans="1:11">
      <c r="A59" s="133" t="s">
        <v>181</v>
      </c>
      <c r="B59" s="133" t="s">
        <v>86</v>
      </c>
      <c r="C59" s="134">
        <v>43916</v>
      </c>
      <c r="D59" s="134">
        <f>Tableau1[[#This Row],[Date début]]</f>
        <v>43916</v>
      </c>
      <c r="E59" s="136" t="str">
        <f>VLOOKUP(Tableau1[[#This Row],[Type]],LISTES!$A$2:$O$61,2,0)</f>
        <v>AIF</v>
      </c>
      <c r="F59" s="136">
        <f>NETWORKDAYS.INTL(C59,D59,11,CALENDRIER!AF64:AF75)</f>
        <v>1</v>
      </c>
      <c r="G59" s="134"/>
      <c r="H59" s="137">
        <f>Tableau1[[#This Row],[Date début]]</f>
        <v>43916</v>
      </c>
      <c r="I59" s="154">
        <v>4</v>
      </c>
      <c r="J59" s="154">
        <v>4</v>
      </c>
      <c r="K59" s="151" t="s">
        <v>137</v>
      </c>
    </row>
    <row r="60" spans="1:11">
      <c r="A60" s="133" t="s">
        <v>181</v>
      </c>
      <c r="B60" s="133" t="s">
        <v>86</v>
      </c>
      <c r="C60" s="134">
        <v>43917</v>
      </c>
      <c r="D60" s="134">
        <f>Tableau1[[#This Row],[Date début]]</f>
        <v>43917</v>
      </c>
      <c r="E60" s="136" t="str">
        <f>VLOOKUP(Tableau1[[#This Row],[Type]],LISTES!$A$2:$O$61,2,0)</f>
        <v>AIF</v>
      </c>
      <c r="F60" s="136">
        <f>NETWORKDAYS.INTL(C60,D60,11,CALENDRIER!AF65:AF76)</f>
        <v>1</v>
      </c>
      <c r="G60" s="134"/>
      <c r="H60" s="137">
        <f>Tableau1[[#This Row],[Date début]]</f>
        <v>43917</v>
      </c>
      <c r="I60" s="154">
        <v>4</v>
      </c>
      <c r="J60" s="154">
        <v>4</v>
      </c>
      <c r="K60" s="151" t="s">
        <v>137</v>
      </c>
    </row>
    <row r="61" spans="1:11">
      <c r="A61" s="133" t="s">
        <v>181</v>
      </c>
      <c r="B61" s="133" t="s">
        <v>113</v>
      </c>
      <c r="C61" s="134">
        <v>43918</v>
      </c>
      <c r="D61" s="134">
        <f>Tableau1[[#This Row],[Date début]]</f>
        <v>43918</v>
      </c>
      <c r="E61" s="136" t="str">
        <f>VLOOKUP(Tableau1[[#This Row],[Type]],LISTES!$A$2:$O$61,2,0)</f>
        <v>REP</v>
      </c>
      <c r="F61" s="136">
        <f>NETWORKDAYS.INTL(C61,D61,11,CALENDRIER!AF66:AF77)</f>
        <v>1</v>
      </c>
      <c r="G61" s="134"/>
      <c r="H61" s="137">
        <f>Tableau1[[#This Row],[Date début]]</f>
        <v>43918</v>
      </c>
    </row>
    <row r="62" spans="1:11">
      <c r="A62" s="133" t="s">
        <v>181</v>
      </c>
      <c r="B62" s="133" t="s">
        <v>86</v>
      </c>
      <c r="C62" s="134">
        <v>43920</v>
      </c>
      <c r="D62" s="134">
        <v>43920</v>
      </c>
      <c r="E62" s="136" t="str">
        <f>VLOOKUP(Tableau1[[#This Row],[Type]],LISTES!$A$2:$O$61,2,0)</f>
        <v>AIF</v>
      </c>
      <c r="F62" s="136">
        <f>NETWORKDAYS.INTL(C62,D62,11,CALENDRIER!AF67:AF78)</f>
        <v>1</v>
      </c>
      <c r="G62" s="134"/>
      <c r="H62" s="137">
        <f>Tableau1[[#This Row],[Date début]]</f>
        <v>43920</v>
      </c>
      <c r="I62" s="154">
        <v>6</v>
      </c>
      <c r="J62" s="154">
        <v>2</v>
      </c>
      <c r="K62" s="151" t="s">
        <v>137</v>
      </c>
    </row>
    <row r="63" spans="1:11">
      <c r="A63" s="133" t="s">
        <v>181</v>
      </c>
      <c r="B63" s="133" t="s">
        <v>86</v>
      </c>
      <c r="C63" s="134">
        <v>43921</v>
      </c>
      <c r="D63" s="134">
        <v>43921</v>
      </c>
      <c r="E63" s="136" t="str">
        <f>VLOOKUP(Tableau1[[#This Row],[Type]],LISTES!$A$2:$O$61,2,0)</f>
        <v>AIF</v>
      </c>
      <c r="F63" s="136">
        <f>NETWORKDAYS.INTL(C63,D63,11,CALENDRIER!AF65:AF76)</f>
        <v>1</v>
      </c>
      <c r="G63" s="134"/>
      <c r="H63" s="137">
        <f>Tableau1[[#This Row],[Date début]]</f>
        <v>43921</v>
      </c>
      <c r="I63" s="154">
        <v>4</v>
      </c>
      <c r="J63" s="154">
        <v>4</v>
      </c>
      <c r="K63" s="151" t="s">
        <v>137</v>
      </c>
    </row>
    <row r="64" spans="1:11">
      <c r="A64" s="133" t="s">
        <v>181</v>
      </c>
      <c r="B64" s="133" t="s">
        <v>86</v>
      </c>
      <c r="C64" s="134">
        <v>43922</v>
      </c>
      <c r="D64" s="134">
        <v>43922</v>
      </c>
      <c r="E64" s="136" t="str">
        <f>VLOOKUP(Tableau1[[#This Row],[Type]],LISTES!$A$2:$O$61,2,0)</f>
        <v>AIF</v>
      </c>
      <c r="F64" s="136">
        <f>NETWORKDAYS.INTL(C64,D64,11,CALENDRIER!AF65:AF76)</f>
        <v>1</v>
      </c>
      <c r="G64" s="134"/>
      <c r="H64" s="137">
        <f>Tableau1[[#This Row],[Date début]]</f>
        <v>43922</v>
      </c>
      <c r="I64" s="154">
        <v>5</v>
      </c>
      <c r="J64" s="154">
        <v>3</v>
      </c>
      <c r="K64" s="151" t="s">
        <v>137</v>
      </c>
    </row>
    <row r="65" spans="1:11">
      <c r="A65" s="133" t="s">
        <v>181</v>
      </c>
      <c r="B65" s="133" t="s">
        <v>86</v>
      </c>
      <c r="C65" s="134">
        <v>43923</v>
      </c>
      <c r="D65" s="134">
        <v>43923</v>
      </c>
      <c r="E65" s="136" t="str">
        <f>VLOOKUP(Tableau1[[#This Row],[Type]],LISTES!$A$2:$O$61,2,0)</f>
        <v>AIF</v>
      </c>
      <c r="F65" s="136">
        <f>NETWORKDAYS.INTL(C65,D65,11,CALENDRIER!AF65:AF76)</f>
        <v>1</v>
      </c>
      <c r="G65" s="134"/>
      <c r="H65" s="137">
        <f>Tableau1[[#This Row],[Date début]]</f>
        <v>43923</v>
      </c>
      <c r="I65" s="154">
        <v>4</v>
      </c>
      <c r="J65" s="154">
        <v>4</v>
      </c>
      <c r="K65" s="151" t="s">
        <v>137</v>
      </c>
    </row>
    <row r="66" spans="1:11">
      <c r="A66" s="133" t="s">
        <v>181</v>
      </c>
      <c r="B66" s="133" t="s">
        <v>113</v>
      </c>
      <c r="C66" s="134">
        <v>43924</v>
      </c>
      <c r="D66" s="134">
        <v>43924</v>
      </c>
      <c r="E66" s="136" t="str">
        <f>VLOOKUP(Tableau1[[#This Row],[Type]],LISTES!$A$2:$O$61,2,0)</f>
        <v>REP</v>
      </c>
      <c r="F66" s="136">
        <f>NETWORKDAYS.INTL(C66,D66,11,CALENDRIER!AF65:AF76)</f>
        <v>1</v>
      </c>
      <c r="G66" s="134"/>
      <c r="H66" s="137">
        <f>Tableau1[[#This Row],[Date début]]</f>
        <v>43924</v>
      </c>
    </row>
    <row r="67" spans="1:11">
      <c r="A67" s="133" t="s">
        <v>181</v>
      </c>
      <c r="B67" s="133" t="s">
        <v>113</v>
      </c>
      <c r="C67" s="134">
        <v>43925</v>
      </c>
      <c r="D67" s="134">
        <f>Tableau1[[#This Row],[Date début]]</f>
        <v>43925</v>
      </c>
      <c r="E67" s="136" t="str">
        <f>VLOOKUP(Tableau1[[#This Row],[Type]],LISTES!$A$2:$O$61,2,0)</f>
        <v>REP</v>
      </c>
      <c r="F67" s="136">
        <f>NETWORKDAYS.INTL(C67,D67,11,CALENDRIER!AF68:AF79)</f>
        <v>1</v>
      </c>
      <c r="G67" s="134"/>
      <c r="H67" s="137">
        <f>Tableau1[[#This Row],[Date début]]</f>
        <v>43925</v>
      </c>
    </row>
    <row r="68" spans="1:11">
      <c r="A68" s="133" t="s">
        <v>181</v>
      </c>
      <c r="B68" s="133" t="s">
        <v>86</v>
      </c>
      <c r="C68" s="134">
        <v>43927</v>
      </c>
      <c r="D68" s="134">
        <v>43927</v>
      </c>
      <c r="E68" s="136" t="str">
        <f>VLOOKUP(Tableau1[[#This Row],[Type]],LISTES!$A$2:$O$61,2,0)</f>
        <v>AIF</v>
      </c>
      <c r="F68" s="136">
        <f>NETWORKDAYS.INTL(C68,D68,11,CALENDRIER!AF69:AF80)</f>
        <v>1</v>
      </c>
      <c r="G68" s="134"/>
      <c r="H68" s="137">
        <f>Tableau1[[#This Row],[Date début]]</f>
        <v>43927</v>
      </c>
      <c r="I68" s="154">
        <v>4.55</v>
      </c>
      <c r="J68" s="154">
        <v>4</v>
      </c>
      <c r="K68" s="151" t="s">
        <v>138</v>
      </c>
    </row>
    <row r="69" spans="1:11">
      <c r="A69" s="133" t="s">
        <v>181</v>
      </c>
      <c r="B69" s="133" t="s">
        <v>86</v>
      </c>
      <c r="C69" s="134">
        <v>43928</v>
      </c>
      <c r="D69" s="134">
        <v>43928</v>
      </c>
      <c r="E69" s="136" t="str">
        <f>VLOOKUP(Tableau1[[#This Row],[Type]],LISTES!$A$2:$O$61,2,0)</f>
        <v>AIF</v>
      </c>
      <c r="F69" s="136">
        <f>NETWORKDAYS.INTL(C69,D69,11,CALENDRIER!AF71:AF82)</f>
        <v>1</v>
      </c>
      <c r="G69" s="134"/>
      <c r="H69" s="137">
        <f>Tableau1[[#This Row],[Date début]]</f>
        <v>43928</v>
      </c>
      <c r="I69" s="154">
        <v>4.55</v>
      </c>
      <c r="J69" s="154">
        <v>4</v>
      </c>
      <c r="K69" s="151" t="s">
        <v>138</v>
      </c>
    </row>
    <row r="70" spans="1:11">
      <c r="A70" s="133" t="s">
        <v>181</v>
      </c>
      <c r="B70" s="133" t="s">
        <v>86</v>
      </c>
      <c r="C70" s="134">
        <v>43929</v>
      </c>
      <c r="D70" s="134">
        <v>43929</v>
      </c>
      <c r="E70" s="136" t="str">
        <f>VLOOKUP(Tableau1[[#This Row],[Type]],LISTES!$A$2:$O$61,2,0)</f>
        <v>AIF</v>
      </c>
      <c r="F70" s="136">
        <f>NETWORKDAYS.INTL(C70,D70,11,CALENDRIER!AF71:AF82)</f>
        <v>1</v>
      </c>
      <c r="G70" s="134"/>
      <c r="H70" s="137">
        <f>Tableau1[[#This Row],[Date début]]</f>
        <v>43929</v>
      </c>
      <c r="I70" s="154">
        <v>4.55</v>
      </c>
      <c r="J70" s="154">
        <v>4</v>
      </c>
      <c r="K70" s="151" t="s">
        <v>138</v>
      </c>
    </row>
    <row r="71" spans="1:11">
      <c r="A71" s="133" t="s">
        <v>181</v>
      </c>
      <c r="B71" s="133" t="s">
        <v>86</v>
      </c>
      <c r="C71" s="134">
        <v>43930</v>
      </c>
      <c r="D71" s="134">
        <v>43930</v>
      </c>
      <c r="E71" s="136" t="str">
        <f>VLOOKUP(Tableau1[[#This Row],[Type]],LISTES!$A$2:$O$61,2,0)</f>
        <v>AIF</v>
      </c>
      <c r="F71" s="136">
        <f>NETWORKDAYS.INTL(C71,D71,11,CALENDRIER!AF70:AF81)</f>
        <v>1</v>
      </c>
      <c r="G71" s="134"/>
      <c r="H71" s="137">
        <f>Tableau1[[#This Row],[Date début]]</f>
        <v>43930</v>
      </c>
      <c r="I71" s="154">
        <v>4.55</v>
      </c>
      <c r="J71" s="154">
        <v>4</v>
      </c>
      <c r="K71" s="151" t="s">
        <v>138</v>
      </c>
    </row>
    <row r="72" spans="1:11">
      <c r="A72" s="133" t="s">
        <v>181</v>
      </c>
      <c r="B72" s="133" t="s">
        <v>27</v>
      </c>
      <c r="C72" s="134">
        <v>43931</v>
      </c>
      <c r="D72" s="134">
        <v>43932</v>
      </c>
      <c r="E72" s="136" t="str">
        <f>VLOOKUP(Tableau1[[#This Row],[Type]],LISTES!$A$2:$O$61,2,0)</f>
        <v>CP</v>
      </c>
      <c r="F72" s="136">
        <f>NETWORKDAYS.INTL(C72,D72,11,CALENDRIER!AF71:AF82)</f>
        <v>2</v>
      </c>
      <c r="G72" s="134" t="s">
        <v>26</v>
      </c>
      <c r="H72" s="137">
        <f>Tableau1[[#This Row],[Date début]]</f>
        <v>43931</v>
      </c>
    </row>
    <row r="73" spans="1:11">
      <c r="A73" s="133" t="s">
        <v>181</v>
      </c>
      <c r="B73" s="133" t="s">
        <v>113</v>
      </c>
      <c r="C73" s="134">
        <v>43935</v>
      </c>
      <c r="D73" s="134">
        <v>43936</v>
      </c>
      <c r="E73" s="136" t="str">
        <f>VLOOKUP(Tableau1[[#This Row],[Type]],LISTES!$A$2:$O$61,2,0)</f>
        <v>REP</v>
      </c>
      <c r="F73" s="136">
        <f>NETWORKDAYS.INTL(C73,D73,11,CALENDRIER!AF72:AF83)</f>
        <v>2</v>
      </c>
      <c r="G73" s="134"/>
      <c r="H73" s="137">
        <f>Tableau1[[#This Row],[Date début]]</f>
        <v>43935</v>
      </c>
    </row>
    <row r="74" spans="1:11">
      <c r="A74" s="133" t="s">
        <v>181</v>
      </c>
      <c r="B74" s="133" t="s">
        <v>27</v>
      </c>
      <c r="C74" s="134">
        <v>43937</v>
      </c>
      <c r="D74" s="134">
        <v>43939</v>
      </c>
      <c r="E74" s="136" t="str">
        <f>VLOOKUP(Tableau1[[#This Row],[Type]],LISTES!$A$2:$O$61,2,0)</f>
        <v>CP</v>
      </c>
      <c r="F74" s="136">
        <f>NETWORKDAYS.INTL(C74,D74,11,CALENDRIER!AF73:AF84)</f>
        <v>3</v>
      </c>
      <c r="G74" s="134" t="s">
        <v>26</v>
      </c>
      <c r="H74" s="137">
        <f>Tableau1[[#This Row],[Date début]]</f>
        <v>43937</v>
      </c>
    </row>
    <row r="75" spans="1:11">
      <c r="A75" s="133" t="s">
        <v>181</v>
      </c>
      <c r="B75" s="133" t="s">
        <v>86</v>
      </c>
      <c r="C75" s="134">
        <v>43941</v>
      </c>
      <c r="D75" s="134">
        <v>43941</v>
      </c>
      <c r="E75" s="136" t="str">
        <f>VLOOKUP(Tableau1[[#This Row],[Type]],LISTES!$A$2:$O$61,2,0)</f>
        <v>AIF</v>
      </c>
      <c r="F75" s="136">
        <f>NETWORKDAYS.INTL(C75,D75,11,CALENDRIER!AF74:AF85)</f>
        <v>1</v>
      </c>
      <c r="G75" s="134"/>
      <c r="H75" s="137">
        <f>Tableau1[[#This Row],[Date début]]</f>
        <v>43941</v>
      </c>
      <c r="I75" s="154">
        <v>4.55</v>
      </c>
      <c r="J75" s="154">
        <v>4.5</v>
      </c>
      <c r="K75" s="151" t="s">
        <v>139</v>
      </c>
    </row>
    <row r="76" spans="1:11">
      <c r="A76" s="133" t="s">
        <v>181</v>
      </c>
      <c r="B76" s="133" t="s">
        <v>86</v>
      </c>
      <c r="C76" s="134">
        <v>43942</v>
      </c>
      <c r="D76" s="134">
        <v>43942</v>
      </c>
      <c r="E76" s="136" t="str">
        <f>VLOOKUP(Tableau1[[#This Row],[Type]],LISTES!$A$2:$O$61,2,0)</f>
        <v>AIF</v>
      </c>
      <c r="F76" s="136">
        <f>NETWORKDAYS.INTL(C76,D76,11,CALENDRIER!AF78:AF89)</f>
        <v>1</v>
      </c>
      <c r="G76" s="134"/>
      <c r="H76" s="137">
        <f>Tableau1[[#This Row],[Date début]]</f>
        <v>43942</v>
      </c>
      <c r="I76" s="154">
        <v>4</v>
      </c>
      <c r="J76" s="154">
        <v>5.25</v>
      </c>
      <c r="K76" s="151" t="s">
        <v>140</v>
      </c>
    </row>
    <row r="77" spans="1:11">
      <c r="A77" s="133" t="s">
        <v>181</v>
      </c>
      <c r="B77" s="133" t="s">
        <v>86</v>
      </c>
      <c r="C77" s="134">
        <v>43943</v>
      </c>
      <c r="D77" s="134">
        <v>43943</v>
      </c>
      <c r="E77" s="136" t="str">
        <f>VLOOKUP(Tableau1[[#This Row],[Type]],LISTES!$A$2:$O$61,2,0)</f>
        <v>AIF</v>
      </c>
      <c r="F77" s="136">
        <f>NETWORKDAYS.INTL(C77,D77,11,CALENDRIER!AF78:AF89)</f>
        <v>1</v>
      </c>
      <c r="G77" s="134"/>
      <c r="H77" s="137">
        <f>Tableau1[[#This Row],[Date début]]</f>
        <v>43943</v>
      </c>
      <c r="K77" s="151"/>
    </row>
    <row r="78" spans="1:11">
      <c r="A78" s="133" t="s">
        <v>181</v>
      </c>
      <c r="B78" s="133" t="s">
        <v>86</v>
      </c>
      <c r="C78" s="134">
        <v>43944</v>
      </c>
      <c r="D78" s="134">
        <v>43944</v>
      </c>
      <c r="E78" s="136" t="str">
        <f>VLOOKUP(Tableau1[[#This Row],[Type]],LISTES!$A$2:$O$61,2,0)</f>
        <v>AIF</v>
      </c>
      <c r="F78" s="136">
        <f>NETWORKDAYS.INTL(C78,D78,11,CALENDRIER!AF78:AF89)</f>
        <v>1</v>
      </c>
      <c r="G78" s="134"/>
      <c r="H78" s="137">
        <f>Tableau1[[#This Row],[Date début]]</f>
        <v>43944</v>
      </c>
      <c r="K78" s="151"/>
    </row>
    <row r="79" spans="1:11">
      <c r="A79" s="133" t="s">
        <v>181</v>
      </c>
      <c r="B79" s="133" t="s">
        <v>113</v>
      </c>
      <c r="C79" s="134">
        <v>43945</v>
      </c>
      <c r="D79" s="134">
        <f>Tableau1[[#This Row],[Date début]]</f>
        <v>43945</v>
      </c>
      <c r="E79" s="136" t="str">
        <f>VLOOKUP(Tableau1[[#This Row],[Type]],LISTES!$A$2:$O$61,2,0)</f>
        <v>REP</v>
      </c>
      <c r="F79" s="136">
        <f>NETWORKDAYS.INTL(C79,D79,11,CALENDRIER!AF75:AF86)</f>
        <v>1</v>
      </c>
      <c r="G79" s="134"/>
      <c r="H79" s="137">
        <f>Tableau1[[#This Row],[Date début]]</f>
        <v>43945</v>
      </c>
    </row>
    <row r="80" spans="1:11">
      <c r="A80" s="133" t="s">
        <v>181</v>
      </c>
      <c r="C80" s="134"/>
      <c r="D80" s="134">
        <f>Tableau1[[#This Row],[Date début]]</f>
        <v>0</v>
      </c>
      <c r="E80" s="136" t="e">
        <f>VLOOKUP(Tableau1[[#This Row],[Type]],LISTES!$A$2:$O$61,2,0)</f>
        <v>#N/A</v>
      </c>
      <c r="F80" s="136">
        <f>NETWORKDAYS.INTL(C80,D80,11,CALENDRIER!AF76:AF87)</f>
        <v>1</v>
      </c>
      <c r="G80" s="134"/>
      <c r="H80" s="137">
        <f>Tableau1[[#This Row],[Date début]]</f>
        <v>0</v>
      </c>
    </row>
    <row r="81" spans="1:8">
      <c r="A81" s="133" t="s">
        <v>181</v>
      </c>
      <c r="C81" s="134"/>
      <c r="D81" s="134">
        <f>Tableau1[[#This Row],[Date début]]</f>
        <v>0</v>
      </c>
      <c r="E81" s="136" t="e">
        <f>VLOOKUP(Tableau1[[#This Row],[Type]],LISTES!$A$2:$O$61,2,0)</f>
        <v>#N/A</v>
      </c>
      <c r="F81" s="136">
        <f>NETWORKDAYS.INTL(C81,D81,11,CALENDRIER!AF77:AF88)</f>
        <v>1</v>
      </c>
      <c r="G81" s="134"/>
      <c r="H81" s="137">
        <f>Tableau1[[#This Row],[Date début]]</f>
        <v>0</v>
      </c>
    </row>
    <row r="82" spans="1:8">
      <c r="A82" s="133" t="s">
        <v>181</v>
      </c>
      <c r="C82" s="134"/>
      <c r="D82" s="134">
        <f>Tableau1[[#This Row],[Date début]]</f>
        <v>0</v>
      </c>
      <c r="E82" s="136" t="e">
        <f>VLOOKUP(Tableau1[[#This Row],[Type]],LISTES!$A$2:$O$61,2,0)</f>
        <v>#N/A</v>
      </c>
      <c r="F82" s="136">
        <f>NETWORKDAYS.INTL(C82,D82,11,CALENDRIER!AF78:AF89)</f>
        <v>1</v>
      </c>
      <c r="G82" s="134"/>
      <c r="H82" s="137">
        <f>Tableau1[[#This Row],[Date début]]</f>
        <v>0</v>
      </c>
    </row>
    <row r="83" spans="1:8">
      <c r="A83" s="133" t="s">
        <v>181</v>
      </c>
      <c r="C83" s="134"/>
      <c r="D83" s="134">
        <f>Tableau1[[#This Row],[Date début]]</f>
        <v>0</v>
      </c>
      <c r="E83" s="136" t="e">
        <f>VLOOKUP(Tableau1[[#This Row],[Type]],LISTES!$A$2:$O$61,2,0)</f>
        <v>#N/A</v>
      </c>
      <c r="F83" s="136">
        <f>NETWORKDAYS.INTL(C83,D83,11,CALENDRIER!AF79:AF90)</f>
        <v>1</v>
      </c>
      <c r="G83" s="134"/>
      <c r="H83" s="137">
        <f>Tableau1[[#This Row],[Date début]]</f>
        <v>0</v>
      </c>
    </row>
    <row r="84" spans="1:8">
      <c r="A84" s="133" t="s">
        <v>181</v>
      </c>
      <c r="C84" s="134"/>
      <c r="D84" s="134">
        <f>Tableau1[[#This Row],[Date début]]</f>
        <v>0</v>
      </c>
      <c r="E84" s="136" t="e">
        <f>VLOOKUP(Tableau1[[#This Row],[Type]],LISTES!$A$2:$O$61,2,0)</f>
        <v>#N/A</v>
      </c>
      <c r="F84" s="136">
        <f>NETWORKDAYS.INTL(C84,D84,11,CALENDRIER!AF80:AF91)</f>
        <v>1</v>
      </c>
      <c r="G84" s="134"/>
      <c r="H84" s="137">
        <f>Tableau1[[#This Row],[Date début]]</f>
        <v>0</v>
      </c>
    </row>
    <row r="85" spans="1:8">
      <c r="A85" s="133" t="s">
        <v>181</v>
      </c>
      <c r="C85" s="134"/>
      <c r="D85" s="134">
        <f>Tableau1[[#This Row],[Date début]]</f>
        <v>0</v>
      </c>
      <c r="E85" s="136" t="e">
        <f>VLOOKUP(Tableau1[[#This Row],[Type]],LISTES!$A$2:$O$61,2,0)</f>
        <v>#N/A</v>
      </c>
      <c r="F85" s="136">
        <f>NETWORKDAYS.INTL(C85,D85,11,CALENDRIER!AF81:AF92)</f>
        <v>1</v>
      </c>
      <c r="G85" s="134"/>
      <c r="H85" s="137">
        <f>Tableau1[[#This Row],[Date début]]</f>
        <v>0</v>
      </c>
    </row>
    <row r="86" spans="1:8">
      <c r="A86" s="133" t="s">
        <v>181</v>
      </c>
      <c r="C86" s="134"/>
      <c r="D86" s="134">
        <f>Tableau1[[#This Row],[Date début]]</f>
        <v>0</v>
      </c>
      <c r="E86" s="136" t="e">
        <f>VLOOKUP(Tableau1[[#This Row],[Type]],LISTES!$A$2:$O$61,2,0)</f>
        <v>#N/A</v>
      </c>
      <c r="F86" s="136">
        <f>NETWORKDAYS.INTL(C86,D86,11,CALENDRIER!AF82:AF93)</f>
        <v>1</v>
      </c>
      <c r="G86" s="134"/>
      <c r="H86" s="137">
        <f>Tableau1[[#This Row],[Date début]]</f>
        <v>0</v>
      </c>
    </row>
    <row r="87" spans="1:8">
      <c r="A87" s="133" t="s">
        <v>181</v>
      </c>
      <c r="C87" s="134"/>
      <c r="D87" s="134">
        <f>Tableau1[[#This Row],[Date début]]</f>
        <v>0</v>
      </c>
      <c r="E87" s="136" t="e">
        <f>VLOOKUP(Tableau1[[#This Row],[Type]],LISTES!$A$2:$O$61,2,0)</f>
        <v>#N/A</v>
      </c>
      <c r="F87" s="136">
        <f>NETWORKDAYS.INTL(C87,D87,11,CALENDRIER!AF83:AF94)</f>
        <v>1</v>
      </c>
      <c r="G87" s="134"/>
      <c r="H87" s="137">
        <f>Tableau1[[#This Row],[Date début]]</f>
        <v>0</v>
      </c>
    </row>
    <row r="88" spans="1:8">
      <c r="A88" s="133" t="s">
        <v>181</v>
      </c>
      <c r="C88" s="134"/>
      <c r="D88" s="134">
        <f>Tableau1[[#This Row],[Date début]]</f>
        <v>0</v>
      </c>
      <c r="E88" s="136" t="e">
        <f>VLOOKUP(Tableau1[[#This Row],[Type]],LISTES!$A$2:$O$61,2,0)</f>
        <v>#N/A</v>
      </c>
      <c r="F88" s="136">
        <f>NETWORKDAYS.INTL(C88,D88,11,CALENDRIER!AF84:AF95)</f>
        <v>1</v>
      </c>
      <c r="G88" s="134"/>
      <c r="H88" s="137">
        <f>Tableau1[[#This Row],[Date début]]</f>
        <v>0</v>
      </c>
    </row>
    <row r="89" spans="1:8">
      <c r="A89" s="133" t="s">
        <v>181</v>
      </c>
      <c r="C89" s="134"/>
      <c r="D89" s="134">
        <f>Tableau1[[#This Row],[Date début]]</f>
        <v>0</v>
      </c>
      <c r="E89" s="136" t="e">
        <f>VLOOKUP(Tableau1[[#This Row],[Type]],LISTES!$A$2:$O$61,2,0)</f>
        <v>#N/A</v>
      </c>
      <c r="F89" s="136">
        <f>NETWORKDAYS.INTL(C89,D89,11,CALENDRIER!AF85:AF96)</f>
        <v>1</v>
      </c>
      <c r="G89" s="134"/>
      <c r="H89" s="137">
        <f>Tableau1[[#This Row],[Date début]]</f>
        <v>0</v>
      </c>
    </row>
    <row r="90" spans="1:8">
      <c r="A90" s="133" t="s">
        <v>181</v>
      </c>
      <c r="C90" s="134"/>
      <c r="D90" s="134">
        <f>Tableau1[[#This Row],[Date début]]</f>
        <v>0</v>
      </c>
      <c r="E90" s="136" t="e">
        <f>VLOOKUP(Tableau1[[#This Row],[Type]],LISTES!$A$2:$O$61,2,0)</f>
        <v>#N/A</v>
      </c>
      <c r="F90" s="136">
        <f>NETWORKDAYS.INTL(C90,D90,11,CALENDRIER!AF86:AF97)</f>
        <v>1</v>
      </c>
      <c r="G90" s="134"/>
      <c r="H90" s="137">
        <f>Tableau1[[#This Row],[Date début]]</f>
        <v>0</v>
      </c>
    </row>
    <row r="91" spans="1:8">
      <c r="A91" s="133" t="s">
        <v>181</v>
      </c>
      <c r="C91" s="134"/>
      <c r="D91" s="134">
        <f>Tableau1[[#This Row],[Date début]]</f>
        <v>0</v>
      </c>
      <c r="E91" s="136" t="e">
        <f>VLOOKUP(Tableau1[[#This Row],[Type]],LISTES!$A$2:$O$61,2,0)</f>
        <v>#N/A</v>
      </c>
      <c r="F91" s="136">
        <f>NETWORKDAYS.INTL(C91,D91,11,CALENDRIER!AF87:AF98)</f>
        <v>1</v>
      </c>
      <c r="G91" s="134"/>
      <c r="H91" s="137">
        <f>Tableau1[[#This Row],[Date début]]</f>
        <v>0</v>
      </c>
    </row>
    <row r="92" spans="1:8">
      <c r="A92" s="133" t="s">
        <v>181</v>
      </c>
      <c r="C92" s="134"/>
      <c r="D92" s="134">
        <f>Tableau1[[#This Row],[Date début]]</f>
        <v>0</v>
      </c>
      <c r="E92" s="136" t="e">
        <f>VLOOKUP(Tableau1[[#This Row],[Type]],LISTES!$A$2:$O$61,2,0)</f>
        <v>#N/A</v>
      </c>
      <c r="F92" s="136">
        <f>NETWORKDAYS.INTL(C92,D92,11,CALENDRIER!AF88:AF99)</f>
        <v>1</v>
      </c>
      <c r="G92" s="134"/>
      <c r="H92" s="137">
        <f>Tableau1[[#This Row],[Date début]]</f>
        <v>0</v>
      </c>
    </row>
    <row r="93" spans="1:8">
      <c r="A93" s="133" t="s">
        <v>181</v>
      </c>
      <c r="C93" s="134"/>
      <c r="D93" s="134">
        <f>Tableau1[[#This Row],[Date début]]</f>
        <v>0</v>
      </c>
      <c r="E93" s="136" t="e">
        <f>VLOOKUP(Tableau1[[#This Row],[Type]],LISTES!$A$2:$O$61,2,0)</f>
        <v>#N/A</v>
      </c>
      <c r="F93" s="136">
        <f>NETWORKDAYS.INTL(C93,D93,11,CALENDRIER!AF89:AF100)</f>
        <v>1</v>
      </c>
      <c r="G93" s="134"/>
      <c r="H93" s="137">
        <f>Tableau1[[#This Row],[Date début]]</f>
        <v>0</v>
      </c>
    </row>
    <row r="94" spans="1:8">
      <c r="A94" s="133" t="s">
        <v>181</v>
      </c>
      <c r="C94" s="134"/>
      <c r="D94" s="134">
        <f>Tableau1[[#This Row],[Date début]]</f>
        <v>0</v>
      </c>
      <c r="E94" s="136" t="e">
        <f>VLOOKUP(Tableau1[[#This Row],[Type]],LISTES!$A$2:$O$61,2,0)</f>
        <v>#N/A</v>
      </c>
      <c r="F94" s="136">
        <f>NETWORKDAYS.INTL(C94,D94,11,CALENDRIER!AF90:AF101)</f>
        <v>1</v>
      </c>
      <c r="G94" s="134"/>
      <c r="H94" s="137">
        <f>Tableau1[[#This Row],[Date début]]</f>
        <v>0</v>
      </c>
    </row>
    <row r="95" spans="1:8">
      <c r="A95" s="133" t="s">
        <v>181</v>
      </c>
      <c r="C95" s="134"/>
      <c r="D95" s="134">
        <f>Tableau1[[#This Row],[Date début]]</f>
        <v>0</v>
      </c>
      <c r="E95" s="136" t="e">
        <f>VLOOKUP(Tableau1[[#This Row],[Type]],LISTES!$A$2:$O$61,2,0)</f>
        <v>#N/A</v>
      </c>
      <c r="F95" s="136">
        <f>NETWORKDAYS.INTL(C95,D95,11,CALENDRIER!AF91:AF102)</f>
        <v>1</v>
      </c>
      <c r="G95" s="134"/>
      <c r="H95" s="137">
        <f>Tableau1[[#This Row],[Date début]]</f>
        <v>0</v>
      </c>
    </row>
    <row r="96" spans="1:8">
      <c r="A96" s="133" t="s">
        <v>181</v>
      </c>
      <c r="C96" s="134"/>
      <c r="D96" s="134">
        <f>Tableau1[[#This Row],[Date début]]</f>
        <v>0</v>
      </c>
      <c r="E96" s="136" t="e">
        <f>VLOOKUP(Tableau1[[#This Row],[Type]],LISTES!$A$2:$O$61,2,0)</f>
        <v>#N/A</v>
      </c>
      <c r="F96" s="136">
        <f>NETWORKDAYS.INTL(C96,D96,11,CALENDRIER!AF92:AF103)</f>
        <v>1</v>
      </c>
      <c r="G96" s="134"/>
      <c r="H96" s="137">
        <f>Tableau1[[#This Row],[Date début]]</f>
        <v>0</v>
      </c>
    </row>
    <row r="97" spans="1:8">
      <c r="A97" s="133" t="s">
        <v>181</v>
      </c>
      <c r="C97" s="134"/>
      <c r="D97" s="134">
        <f>Tableau1[[#This Row],[Date début]]</f>
        <v>0</v>
      </c>
      <c r="E97" s="136" t="e">
        <f>VLOOKUP(Tableau1[[#This Row],[Type]],LISTES!$A$2:$O$61,2,0)</f>
        <v>#N/A</v>
      </c>
      <c r="F97" s="136">
        <f>NETWORKDAYS.INTL(C97,D97,11,CALENDRIER!AF93:AF104)</f>
        <v>1</v>
      </c>
      <c r="G97" s="134"/>
      <c r="H97" s="137">
        <f>Tableau1[[#This Row],[Date début]]</f>
        <v>0</v>
      </c>
    </row>
    <row r="98" spans="1:8">
      <c r="A98" s="133" t="s">
        <v>181</v>
      </c>
      <c r="C98" s="134"/>
      <c r="D98" s="134">
        <f>Tableau1[[#This Row],[Date début]]</f>
        <v>0</v>
      </c>
      <c r="E98" s="136" t="e">
        <f>VLOOKUP(Tableau1[[#This Row],[Type]],LISTES!$A$2:$O$61,2,0)</f>
        <v>#N/A</v>
      </c>
      <c r="F98" s="136">
        <f>NETWORKDAYS.INTL(C98,D98,11,CALENDRIER!AF94:AF105)</f>
        <v>1</v>
      </c>
      <c r="G98" s="134"/>
      <c r="H98" s="137">
        <f>Tableau1[[#This Row],[Date début]]</f>
        <v>0</v>
      </c>
    </row>
    <row r="99" spans="1:8">
      <c r="A99" s="133" t="s">
        <v>181</v>
      </c>
      <c r="C99" s="134"/>
      <c r="D99" s="134">
        <f>Tableau1[[#This Row],[Date début]]</f>
        <v>0</v>
      </c>
      <c r="E99" s="136" t="e">
        <f>VLOOKUP(Tableau1[[#This Row],[Type]],LISTES!$A$2:$O$61,2,0)</f>
        <v>#N/A</v>
      </c>
      <c r="F99" s="136">
        <f>NETWORKDAYS.INTL(C99,D99,11,CALENDRIER!AF95:AF106)</f>
        <v>1</v>
      </c>
      <c r="G99" s="134"/>
      <c r="H99" s="137">
        <f>Tableau1[[#This Row],[Date début]]</f>
        <v>0</v>
      </c>
    </row>
    <row r="100" spans="1:8">
      <c r="A100" s="133" t="s">
        <v>181</v>
      </c>
      <c r="C100" s="134"/>
      <c r="D100" s="134">
        <f>Tableau1[[#This Row],[Date début]]</f>
        <v>0</v>
      </c>
      <c r="E100" s="136" t="e">
        <f>VLOOKUP(Tableau1[[#This Row],[Type]],LISTES!$A$2:$O$61,2,0)</f>
        <v>#N/A</v>
      </c>
      <c r="F100" s="136">
        <f>NETWORKDAYS.INTL(C100,D100,11,CALENDRIER!AF96:AF107)</f>
        <v>1</v>
      </c>
      <c r="G100" s="134"/>
      <c r="H100" s="137">
        <f>Tableau1[[#This Row],[Date début]]</f>
        <v>0</v>
      </c>
    </row>
    <row r="101" spans="1:8">
      <c r="A101" s="133" t="s">
        <v>181</v>
      </c>
      <c r="C101" s="134"/>
      <c r="D101" s="134">
        <f>Tableau1[[#This Row],[Date début]]</f>
        <v>0</v>
      </c>
      <c r="E101" s="136" t="e">
        <f>VLOOKUP(Tableau1[[#This Row],[Type]],LISTES!$A$2:$O$61,2,0)</f>
        <v>#N/A</v>
      </c>
      <c r="F101" s="136">
        <f>NETWORKDAYS.INTL(C101,D101,11,CALENDRIER!AF97:AF108)</f>
        <v>1</v>
      </c>
      <c r="G101" s="134"/>
      <c r="H101" s="137">
        <f>Tableau1[[#This Row],[Date début]]</f>
        <v>0</v>
      </c>
    </row>
    <row r="102" spans="1:8">
      <c r="A102" s="133" t="s">
        <v>181</v>
      </c>
      <c r="C102" s="134"/>
      <c r="D102" s="134">
        <f>Tableau1[[#This Row],[Date début]]</f>
        <v>0</v>
      </c>
      <c r="E102" s="136" t="e">
        <f>VLOOKUP(Tableau1[[#This Row],[Type]],LISTES!$A$2:$O$61,2,0)</f>
        <v>#N/A</v>
      </c>
      <c r="F102" s="136">
        <f>NETWORKDAYS.INTL(C102,D102,11,CALENDRIER!AF98:AF109)</f>
        <v>1</v>
      </c>
      <c r="G102" s="134"/>
      <c r="H102" s="137">
        <f>Tableau1[[#This Row],[Date début]]</f>
        <v>0</v>
      </c>
    </row>
    <row r="103" spans="1:8">
      <c r="A103" s="133" t="s">
        <v>181</v>
      </c>
      <c r="C103" s="134"/>
      <c r="D103" s="134">
        <f>Tableau1[[#This Row],[Date début]]</f>
        <v>0</v>
      </c>
      <c r="E103" s="136" t="e">
        <f>VLOOKUP(Tableau1[[#This Row],[Type]],LISTES!$A$2:$O$61,2,0)</f>
        <v>#N/A</v>
      </c>
      <c r="F103" s="136">
        <f>NETWORKDAYS.INTL(C103,D103,11,CALENDRIER!AF99:AF110)</f>
        <v>1</v>
      </c>
      <c r="G103" s="134"/>
      <c r="H103" s="137">
        <f>Tableau1[[#This Row],[Date début]]</f>
        <v>0</v>
      </c>
    </row>
    <row r="104" spans="1:8">
      <c r="A104" s="133" t="s">
        <v>181</v>
      </c>
      <c r="C104" s="134"/>
      <c r="D104" s="134">
        <f>Tableau1[[#This Row],[Date début]]</f>
        <v>0</v>
      </c>
      <c r="E104" s="136" t="e">
        <f>VLOOKUP(Tableau1[[#This Row],[Type]],LISTES!$A$2:$O$61,2,0)</f>
        <v>#N/A</v>
      </c>
      <c r="F104" s="136">
        <f>NETWORKDAYS.INTL(C104,D104,11,CALENDRIER!AF100:AF111)</f>
        <v>1</v>
      </c>
      <c r="G104" s="134"/>
      <c r="H104" s="137">
        <f>Tableau1[[#This Row],[Date début]]</f>
        <v>0</v>
      </c>
    </row>
    <row r="105" spans="1:8">
      <c r="A105" s="133" t="s">
        <v>181</v>
      </c>
      <c r="C105" s="134"/>
      <c r="D105" s="134">
        <f>Tableau1[[#This Row],[Date début]]</f>
        <v>0</v>
      </c>
      <c r="E105" s="136" t="e">
        <f>VLOOKUP(Tableau1[[#This Row],[Type]],LISTES!$A$2:$O$61,2,0)</f>
        <v>#N/A</v>
      </c>
      <c r="F105" s="136">
        <f>NETWORKDAYS.INTL(C105,D105,11,CALENDRIER!AF101:AF112)</f>
        <v>1</v>
      </c>
      <c r="G105" s="134"/>
      <c r="H105" s="137">
        <f>Tableau1[[#This Row],[Date début]]</f>
        <v>0</v>
      </c>
    </row>
    <row r="106" spans="1:8">
      <c r="A106" s="133" t="s">
        <v>181</v>
      </c>
      <c r="C106" s="134"/>
      <c r="D106" s="134">
        <f>Tableau1[[#This Row],[Date début]]</f>
        <v>0</v>
      </c>
      <c r="E106" s="136" t="e">
        <f>VLOOKUP(Tableau1[[#This Row],[Type]],LISTES!$A$2:$O$61,2,0)</f>
        <v>#N/A</v>
      </c>
      <c r="F106" s="136">
        <f>NETWORKDAYS.INTL(C106,D106,11,CALENDRIER!AF102:AF113)</f>
        <v>1</v>
      </c>
      <c r="G106" s="134"/>
      <c r="H106" s="137">
        <f>Tableau1[[#This Row],[Date début]]</f>
        <v>0</v>
      </c>
    </row>
    <row r="107" spans="1:8">
      <c r="A107" s="133" t="s">
        <v>181</v>
      </c>
      <c r="C107" s="134"/>
      <c r="D107" s="134">
        <f>Tableau1[[#This Row],[Date début]]</f>
        <v>0</v>
      </c>
      <c r="E107" s="136" t="e">
        <f>VLOOKUP(Tableau1[[#This Row],[Type]],LISTES!$A$2:$O$61,2,0)</f>
        <v>#N/A</v>
      </c>
      <c r="F107" s="136">
        <f>NETWORKDAYS.INTL(C107,D107,11,CALENDRIER!AF103:AF114)</f>
        <v>1</v>
      </c>
      <c r="G107" s="134"/>
      <c r="H107" s="137">
        <f>Tableau1[[#This Row],[Date début]]</f>
        <v>0</v>
      </c>
    </row>
    <row r="108" spans="1:8">
      <c r="A108" s="133" t="s">
        <v>181</v>
      </c>
      <c r="C108" s="134"/>
      <c r="D108" s="134">
        <f>Tableau1[[#This Row],[Date début]]</f>
        <v>0</v>
      </c>
      <c r="E108" s="136" t="e">
        <f>VLOOKUP(Tableau1[[#This Row],[Type]],LISTES!$A$2:$O$61,2,0)</f>
        <v>#N/A</v>
      </c>
      <c r="F108" s="136">
        <f>NETWORKDAYS.INTL(C108,D108,11,CALENDRIER!AF104:AF115)</f>
        <v>1</v>
      </c>
      <c r="G108" s="134"/>
      <c r="H108" s="137">
        <f>Tableau1[[#This Row],[Date début]]</f>
        <v>0</v>
      </c>
    </row>
    <row r="109" spans="1:8">
      <c r="A109" s="133" t="s">
        <v>181</v>
      </c>
      <c r="C109" s="134"/>
      <c r="D109" s="134">
        <f>Tableau1[[#This Row],[Date début]]</f>
        <v>0</v>
      </c>
      <c r="E109" s="136" t="e">
        <f>VLOOKUP(Tableau1[[#This Row],[Type]],LISTES!$A$2:$O$61,2,0)</f>
        <v>#N/A</v>
      </c>
      <c r="F109" s="136">
        <f>NETWORKDAYS.INTL(C109,D109,11,CALENDRIER!AF105:AF116)</f>
        <v>1</v>
      </c>
      <c r="G109" s="134"/>
      <c r="H109" s="137">
        <f>Tableau1[[#This Row],[Date début]]</f>
        <v>0</v>
      </c>
    </row>
    <row r="110" spans="1:8">
      <c r="A110" s="133" t="s">
        <v>181</v>
      </c>
      <c r="C110" s="134"/>
      <c r="D110" s="134">
        <f>Tableau1[[#This Row],[Date début]]</f>
        <v>0</v>
      </c>
      <c r="E110" s="136" t="e">
        <f>VLOOKUP(Tableau1[[#This Row],[Type]],LISTES!$A$2:$O$61,2,0)</f>
        <v>#N/A</v>
      </c>
      <c r="F110" s="136">
        <f>NETWORKDAYS.INTL(C110,D110,11,CALENDRIER!AF106:AF117)</f>
        <v>1</v>
      </c>
      <c r="G110" s="134"/>
      <c r="H110" s="137">
        <f>Tableau1[[#This Row],[Date début]]</f>
        <v>0</v>
      </c>
    </row>
    <row r="111" spans="1:8">
      <c r="A111" s="133" t="s">
        <v>181</v>
      </c>
      <c r="C111" s="134"/>
      <c r="D111" s="134">
        <f>Tableau1[[#This Row],[Date début]]</f>
        <v>0</v>
      </c>
      <c r="E111" s="136" t="e">
        <f>VLOOKUP(Tableau1[[#This Row],[Type]],LISTES!$A$2:$O$61,2,0)</f>
        <v>#N/A</v>
      </c>
      <c r="F111" s="136">
        <f>NETWORKDAYS.INTL(C111,D111,11,CALENDRIER!AF107:AF118)</f>
        <v>1</v>
      </c>
      <c r="G111" s="134"/>
      <c r="H111" s="137">
        <f>Tableau1[[#This Row],[Date début]]</f>
        <v>0</v>
      </c>
    </row>
    <row r="112" spans="1:8">
      <c r="A112" s="133" t="s">
        <v>181</v>
      </c>
      <c r="C112" s="134"/>
      <c r="D112" s="134">
        <f>Tableau1[[#This Row],[Date début]]</f>
        <v>0</v>
      </c>
      <c r="E112" s="136" t="e">
        <f>VLOOKUP(Tableau1[[#This Row],[Type]],LISTES!$A$2:$O$61,2,0)</f>
        <v>#N/A</v>
      </c>
      <c r="F112" s="136">
        <f>NETWORKDAYS.INTL(C112,D112,11,CALENDRIER!AF108:AF119)</f>
        <v>1</v>
      </c>
      <c r="G112" s="134"/>
      <c r="H112" s="137">
        <f>Tableau1[[#This Row],[Date début]]</f>
        <v>0</v>
      </c>
    </row>
    <row r="113" spans="1:8">
      <c r="A113" s="133" t="s">
        <v>181</v>
      </c>
      <c r="C113" s="134"/>
      <c r="D113" s="134">
        <f>Tableau1[[#This Row],[Date début]]</f>
        <v>0</v>
      </c>
      <c r="E113" s="136" t="e">
        <f>VLOOKUP(Tableau1[[#This Row],[Type]],LISTES!$A$2:$O$61,2,0)</f>
        <v>#N/A</v>
      </c>
      <c r="F113" s="136">
        <f>NETWORKDAYS.INTL(C113,D113,11,CALENDRIER!AF109:AF120)</f>
        <v>1</v>
      </c>
      <c r="G113" s="134"/>
      <c r="H113" s="137">
        <f>Tableau1[[#This Row],[Date début]]</f>
        <v>0</v>
      </c>
    </row>
    <row r="114" spans="1:8">
      <c r="A114" s="133" t="s">
        <v>181</v>
      </c>
      <c r="C114" s="134"/>
      <c r="D114" s="134">
        <f>Tableau1[[#This Row],[Date début]]</f>
        <v>0</v>
      </c>
      <c r="E114" s="136" t="e">
        <f>VLOOKUP(Tableau1[[#This Row],[Type]],LISTES!$A$2:$O$61,2,0)</f>
        <v>#N/A</v>
      </c>
      <c r="F114" s="136">
        <f>NETWORKDAYS.INTL(C114,D114,11,CALENDRIER!AF110:AF121)</f>
        <v>1</v>
      </c>
      <c r="G114" s="134"/>
      <c r="H114" s="137">
        <f>Tableau1[[#This Row],[Date début]]</f>
        <v>0</v>
      </c>
    </row>
    <row r="115" spans="1:8">
      <c r="A115" s="133" t="s">
        <v>181</v>
      </c>
      <c r="C115" s="134"/>
      <c r="D115" s="134">
        <f>Tableau1[[#This Row],[Date début]]</f>
        <v>0</v>
      </c>
      <c r="E115" s="136" t="e">
        <f>VLOOKUP(Tableau1[[#This Row],[Type]],LISTES!$A$2:$O$61,2,0)</f>
        <v>#N/A</v>
      </c>
      <c r="F115" s="136">
        <f>NETWORKDAYS.INTL(C115,D115,11,CALENDRIER!AF111:AF122)</f>
        <v>1</v>
      </c>
      <c r="G115" s="134"/>
      <c r="H115" s="137">
        <f>Tableau1[[#This Row],[Date début]]</f>
        <v>0</v>
      </c>
    </row>
    <row r="116" spans="1:8">
      <c r="A116" s="133" t="s">
        <v>181</v>
      </c>
      <c r="C116" s="134"/>
      <c r="D116" s="134">
        <f>Tableau1[[#This Row],[Date début]]</f>
        <v>0</v>
      </c>
      <c r="E116" s="136" t="e">
        <f>VLOOKUP(Tableau1[[#This Row],[Type]],LISTES!$A$2:$O$61,2,0)</f>
        <v>#N/A</v>
      </c>
      <c r="F116" s="136">
        <f>NETWORKDAYS.INTL(C116,D116,11,CALENDRIER!AF112:AF123)</f>
        <v>1</v>
      </c>
      <c r="G116" s="134"/>
      <c r="H116" s="137">
        <f>Tableau1[[#This Row],[Date début]]</f>
        <v>0</v>
      </c>
    </row>
    <row r="117" spans="1:8">
      <c r="A117" s="133" t="s">
        <v>181</v>
      </c>
      <c r="C117" s="134"/>
      <c r="D117" s="134">
        <f>Tableau1[[#This Row],[Date début]]</f>
        <v>0</v>
      </c>
      <c r="E117" s="136" t="e">
        <f>VLOOKUP(Tableau1[[#This Row],[Type]],LISTES!$A$2:$O$61,2,0)</f>
        <v>#N/A</v>
      </c>
      <c r="F117" s="136">
        <f>NETWORKDAYS.INTL(C117,D117,11,CALENDRIER!AF113:AF124)</f>
        <v>1</v>
      </c>
      <c r="G117" s="134"/>
      <c r="H117" s="137">
        <f>Tableau1[[#This Row],[Date début]]</f>
        <v>0</v>
      </c>
    </row>
    <row r="118" spans="1:8">
      <c r="A118" s="133" t="s">
        <v>181</v>
      </c>
      <c r="C118" s="134"/>
      <c r="D118" s="134">
        <f>Tableau1[[#This Row],[Date début]]</f>
        <v>0</v>
      </c>
      <c r="E118" s="136" t="e">
        <f>VLOOKUP(Tableau1[[#This Row],[Type]],LISTES!$A$2:$O$61,2,0)</f>
        <v>#N/A</v>
      </c>
      <c r="F118" s="136">
        <f>NETWORKDAYS.INTL(C118,D118,11,CALENDRIER!AF114:AF125)</f>
        <v>1</v>
      </c>
      <c r="G118" s="134"/>
      <c r="H118" s="137">
        <f>Tableau1[[#This Row],[Date début]]</f>
        <v>0</v>
      </c>
    </row>
    <row r="119" spans="1:8">
      <c r="A119" s="133" t="s">
        <v>181</v>
      </c>
      <c r="C119" s="134"/>
      <c r="D119" s="134">
        <f>Tableau1[[#This Row],[Date début]]</f>
        <v>0</v>
      </c>
      <c r="E119" s="136" t="e">
        <f>VLOOKUP(Tableau1[[#This Row],[Type]],LISTES!$A$2:$O$61,2,0)</f>
        <v>#N/A</v>
      </c>
      <c r="F119" s="136">
        <f>NETWORKDAYS.INTL(C119,D119,11,CALENDRIER!AF115:AF126)</f>
        <v>1</v>
      </c>
      <c r="G119" s="134"/>
      <c r="H119" s="137">
        <f>Tableau1[[#This Row],[Date début]]</f>
        <v>0</v>
      </c>
    </row>
    <row r="120" spans="1:8">
      <c r="A120" s="133" t="s">
        <v>181</v>
      </c>
      <c r="C120" s="134"/>
      <c r="D120" s="134">
        <f>Tableau1[[#This Row],[Date début]]</f>
        <v>0</v>
      </c>
      <c r="E120" s="136" t="e">
        <f>VLOOKUP(Tableau1[[#This Row],[Type]],LISTES!$A$2:$O$61,2,0)</f>
        <v>#N/A</v>
      </c>
      <c r="F120" s="136">
        <f>NETWORKDAYS.INTL(C120,D120,11,CALENDRIER!AF116:AF127)</f>
        <v>1</v>
      </c>
      <c r="G120" s="134"/>
      <c r="H120" s="137">
        <f>Tableau1[[#This Row],[Date début]]</f>
        <v>0</v>
      </c>
    </row>
    <row r="121" spans="1:8">
      <c r="A121" s="133" t="s">
        <v>181</v>
      </c>
      <c r="C121" s="134"/>
      <c r="D121" s="134">
        <f>Tableau1[[#This Row],[Date début]]</f>
        <v>0</v>
      </c>
      <c r="E121" s="136" t="e">
        <f>VLOOKUP(Tableau1[[#This Row],[Type]],LISTES!$A$2:$O$61,2,0)</f>
        <v>#N/A</v>
      </c>
      <c r="F121" s="136">
        <f>NETWORKDAYS.INTL(C121,D121,11,CALENDRIER!AF117:AF128)</f>
        <v>1</v>
      </c>
      <c r="G121" s="134"/>
      <c r="H121" s="137">
        <f>Tableau1[[#This Row],[Date début]]</f>
        <v>0</v>
      </c>
    </row>
    <row r="122" spans="1:8">
      <c r="A122" s="133" t="s">
        <v>181</v>
      </c>
      <c r="C122" s="134"/>
      <c r="D122" s="134">
        <f>Tableau1[[#This Row],[Date début]]</f>
        <v>0</v>
      </c>
      <c r="E122" s="136" t="e">
        <f>VLOOKUP(Tableau1[[#This Row],[Type]],LISTES!$A$2:$O$61,2,0)</f>
        <v>#N/A</v>
      </c>
      <c r="F122" s="136">
        <f>NETWORKDAYS.INTL(C122,D122,11,CALENDRIER!AF118:AF129)</f>
        <v>1</v>
      </c>
      <c r="G122" s="134"/>
      <c r="H122" s="137">
        <f>Tableau1[[#This Row],[Date début]]</f>
        <v>0</v>
      </c>
    </row>
    <row r="123" spans="1:8">
      <c r="A123" s="133" t="s">
        <v>181</v>
      </c>
      <c r="C123" s="134"/>
      <c r="D123" s="134">
        <f>Tableau1[[#This Row],[Date début]]</f>
        <v>0</v>
      </c>
      <c r="E123" s="136" t="e">
        <f>VLOOKUP(Tableau1[[#This Row],[Type]],LISTES!$A$2:$O$61,2,0)</f>
        <v>#N/A</v>
      </c>
      <c r="F123" s="136">
        <f>NETWORKDAYS.INTL(C123,D123,11,CALENDRIER!AF119:AF130)</f>
        <v>1</v>
      </c>
      <c r="G123" s="134"/>
      <c r="H123" s="137">
        <f>Tableau1[[#This Row],[Date début]]</f>
        <v>0</v>
      </c>
    </row>
    <row r="124" spans="1:8">
      <c r="A124" s="133" t="s">
        <v>181</v>
      </c>
      <c r="C124" s="134"/>
      <c r="D124" s="134">
        <f>Tableau1[[#This Row],[Date début]]</f>
        <v>0</v>
      </c>
      <c r="E124" s="136" t="e">
        <f>VLOOKUP(Tableau1[[#This Row],[Type]],LISTES!$A$2:$O$61,2,0)</f>
        <v>#N/A</v>
      </c>
      <c r="F124" s="136">
        <f>NETWORKDAYS.INTL(C124,D124,11,CALENDRIER!AF120:AF131)</f>
        <v>1</v>
      </c>
      <c r="G124" s="134"/>
      <c r="H124" s="137">
        <f>Tableau1[[#This Row],[Date début]]</f>
        <v>0</v>
      </c>
    </row>
    <row r="125" spans="1:8">
      <c r="A125" s="133" t="s">
        <v>181</v>
      </c>
      <c r="C125" s="134"/>
      <c r="D125" s="134">
        <f>Tableau1[[#This Row],[Date début]]</f>
        <v>0</v>
      </c>
      <c r="E125" s="136" t="e">
        <f>VLOOKUP(Tableau1[[#This Row],[Type]],LISTES!$A$2:$O$61,2,0)</f>
        <v>#N/A</v>
      </c>
      <c r="F125" s="136">
        <f>NETWORKDAYS.INTL(C125,D125,11,CALENDRIER!AF121:AF132)</f>
        <v>1</v>
      </c>
      <c r="G125" s="134"/>
      <c r="H125" s="137">
        <f>Tableau1[[#This Row],[Date début]]</f>
        <v>0</v>
      </c>
    </row>
    <row r="126" spans="1:8">
      <c r="A126" s="133" t="s">
        <v>181</v>
      </c>
      <c r="C126" s="134"/>
      <c r="D126" s="134">
        <f>Tableau1[[#This Row],[Date début]]</f>
        <v>0</v>
      </c>
      <c r="E126" s="136" t="e">
        <f>VLOOKUP(Tableau1[[#This Row],[Type]],LISTES!$A$2:$O$61,2,0)</f>
        <v>#N/A</v>
      </c>
      <c r="F126" s="136">
        <f>NETWORKDAYS.INTL(C126,D126,11,CALENDRIER!AF122:AF133)</f>
        <v>1</v>
      </c>
      <c r="G126" s="134"/>
      <c r="H126" s="137">
        <f>Tableau1[[#This Row],[Date début]]</f>
        <v>0</v>
      </c>
    </row>
    <row r="127" spans="1:8">
      <c r="A127" s="133" t="s">
        <v>181</v>
      </c>
      <c r="C127" s="134"/>
      <c r="D127" s="134">
        <f>Tableau1[[#This Row],[Date début]]</f>
        <v>0</v>
      </c>
      <c r="E127" s="136" t="e">
        <f>VLOOKUP(Tableau1[[#This Row],[Type]],LISTES!$A$2:$O$61,2,0)</f>
        <v>#N/A</v>
      </c>
      <c r="F127" s="136">
        <f>NETWORKDAYS.INTL(C127,D127,11,CALENDRIER!AF123:AF134)</f>
        <v>1</v>
      </c>
      <c r="G127" s="134"/>
      <c r="H127" s="137">
        <f>Tableau1[[#This Row],[Date début]]</f>
        <v>0</v>
      </c>
    </row>
    <row r="128" spans="1:8">
      <c r="A128" s="133" t="s">
        <v>181</v>
      </c>
      <c r="C128" s="134"/>
      <c r="D128" s="134">
        <f>Tableau1[[#This Row],[Date début]]</f>
        <v>0</v>
      </c>
      <c r="E128" s="136" t="e">
        <f>VLOOKUP(Tableau1[[#This Row],[Type]],LISTES!$A$2:$O$61,2,0)</f>
        <v>#N/A</v>
      </c>
      <c r="F128" s="136">
        <f>NETWORKDAYS.INTL(C128,D128,11,CALENDRIER!AF124:AF135)</f>
        <v>1</v>
      </c>
      <c r="G128" s="134"/>
      <c r="H128" s="137">
        <f>Tableau1[[#This Row],[Date début]]</f>
        <v>0</v>
      </c>
    </row>
    <row r="129" spans="1:8">
      <c r="A129" s="133" t="s">
        <v>181</v>
      </c>
      <c r="C129" s="134"/>
      <c r="D129" s="134">
        <f>Tableau1[[#This Row],[Date début]]</f>
        <v>0</v>
      </c>
      <c r="E129" s="136" t="e">
        <f>VLOOKUP(Tableau1[[#This Row],[Type]],LISTES!$A$2:$O$61,2,0)</f>
        <v>#N/A</v>
      </c>
      <c r="F129" s="136">
        <f>NETWORKDAYS.INTL(C129,D129,11,CALENDRIER!AF125:AF136)</f>
        <v>1</v>
      </c>
      <c r="G129" s="134"/>
      <c r="H129" s="137">
        <f>Tableau1[[#This Row],[Date début]]</f>
        <v>0</v>
      </c>
    </row>
    <row r="130" spans="1:8">
      <c r="A130" s="133" t="s">
        <v>181</v>
      </c>
      <c r="C130" s="134"/>
      <c r="D130" s="134">
        <f>Tableau1[[#This Row],[Date début]]</f>
        <v>0</v>
      </c>
      <c r="E130" s="136" t="e">
        <f>VLOOKUP(Tableau1[[#This Row],[Type]],LISTES!$A$2:$O$61,2,0)</f>
        <v>#N/A</v>
      </c>
      <c r="F130" s="136">
        <f>NETWORKDAYS.INTL(C130,D130,11,CALENDRIER!AF126:AF137)</f>
        <v>1</v>
      </c>
      <c r="G130" s="134"/>
      <c r="H130" s="137">
        <f>Tableau1[[#This Row],[Date début]]</f>
        <v>0</v>
      </c>
    </row>
    <row r="131" spans="1:8">
      <c r="A131" s="133" t="s">
        <v>181</v>
      </c>
      <c r="C131" s="134"/>
      <c r="D131" s="134">
        <f>Tableau1[[#This Row],[Date début]]</f>
        <v>0</v>
      </c>
      <c r="E131" s="136" t="e">
        <f>VLOOKUP(Tableau1[[#This Row],[Type]],LISTES!$A$2:$O$61,2,0)</f>
        <v>#N/A</v>
      </c>
      <c r="F131" s="136">
        <f>NETWORKDAYS.INTL(C131,D131,11,CALENDRIER!AF127:AF138)</f>
        <v>1</v>
      </c>
      <c r="G131" s="134"/>
      <c r="H131" s="137">
        <f>Tableau1[[#This Row],[Date début]]</f>
        <v>0</v>
      </c>
    </row>
    <row r="132" spans="1:8">
      <c r="A132" s="133" t="s">
        <v>181</v>
      </c>
      <c r="C132" s="134"/>
      <c r="D132" s="134">
        <f>Tableau1[[#This Row],[Date début]]</f>
        <v>0</v>
      </c>
      <c r="E132" s="136" t="e">
        <f>VLOOKUP(Tableau1[[#This Row],[Type]],LISTES!$A$2:$O$61,2,0)</f>
        <v>#N/A</v>
      </c>
      <c r="F132" s="136">
        <f>NETWORKDAYS.INTL(C132,D132,11,CALENDRIER!AF128:AF139)</f>
        <v>1</v>
      </c>
      <c r="G132" s="134"/>
      <c r="H132" s="137">
        <f>Tableau1[[#This Row],[Date début]]</f>
        <v>0</v>
      </c>
    </row>
    <row r="133" spans="1:8">
      <c r="A133" s="133" t="s">
        <v>181</v>
      </c>
      <c r="C133" s="134"/>
      <c r="D133" s="134">
        <f>Tableau1[[#This Row],[Date début]]</f>
        <v>0</v>
      </c>
      <c r="E133" s="136" t="e">
        <f>VLOOKUP(Tableau1[[#This Row],[Type]],LISTES!$A$2:$O$61,2,0)</f>
        <v>#N/A</v>
      </c>
      <c r="F133" s="136">
        <f>NETWORKDAYS.INTL(C133,D133,11,CALENDRIER!AF129:AF140)</f>
        <v>1</v>
      </c>
      <c r="G133" s="134"/>
      <c r="H133" s="137">
        <f>Tableau1[[#This Row],[Date début]]</f>
        <v>0</v>
      </c>
    </row>
    <row r="134" spans="1:8">
      <c r="A134" s="133" t="s">
        <v>181</v>
      </c>
      <c r="C134" s="134"/>
      <c r="D134" s="134">
        <f>Tableau1[[#This Row],[Date début]]</f>
        <v>0</v>
      </c>
      <c r="E134" s="136" t="e">
        <f>VLOOKUP(Tableau1[[#This Row],[Type]],LISTES!$A$2:$O$61,2,0)</f>
        <v>#N/A</v>
      </c>
      <c r="F134" s="136">
        <f>NETWORKDAYS.INTL(C134,D134,11,CALENDRIER!AF130:AF141)</f>
        <v>1</v>
      </c>
      <c r="G134" s="134"/>
      <c r="H134" s="137">
        <f>Tableau1[[#This Row],[Date début]]</f>
        <v>0</v>
      </c>
    </row>
    <row r="135" spans="1:8">
      <c r="A135" s="133" t="s">
        <v>181</v>
      </c>
      <c r="C135" s="134"/>
      <c r="D135" s="134">
        <f>Tableau1[[#This Row],[Date début]]</f>
        <v>0</v>
      </c>
      <c r="E135" s="136" t="e">
        <f>VLOOKUP(Tableau1[[#This Row],[Type]],LISTES!$A$2:$O$61,2,0)</f>
        <v>#N/A</v>
      </c>
      <c r="F135" s="136">
        <f>NETWORKDAYS.INTL(C135,D135,11,CALENDRIER!AF131:AF142)</f>
        <v>1</v>
      </c>
      <c r="G135" s="134"/>
      <c r="H135" s="137">
        <f>Tableau1[[#This Row],[Date début]]</f>
        <v>0</v>
      </c>
    </row>
    <row r="136" spans="1:8">
      <c r="A136" s="133" t="s">
        <v>181</v>
      </c>
      <c r="C136" s="134"/>
      <c r="D136" s="134">
        <f>Tableau1[[#This Row],[Date début]]</f>
        <v>0</v>
      </c>
      <c r="E136" s="136" t="e">
        <f>VLOOKUP(Tableau1[[#This Row],[Type]],LISTES!$A$2:$O$61,2,0)</f>
        <v>#N/A</v>
      </c>
      <c r="F136" s="136">
        <f>NETWORKDAYS.INTL(C136,D136,11,CALENDRIER!AF132:AF143)</f>
        <v>1</v>
      </c>
      <c r="G136" s="134"/>
      <c r="H136" s="137">
        <f>Tableau1[[#This Row],[Date début]]</f>
        <v>0</v>
      </c>
    </row>
    <row r="137" spans="1:8">
      <c r="A137" s="133" t="s">
        <v>181</v>
      </c>
      <c r="C137" s="134"/>
      <c r="D137" s="134">
        <f>Tableau1[[#This Row],[Date début]]</f>
        <v>0</v>
      </c>
      <c r="E137" s="136" t="e">
        <f>VLOOKUP(Tableau1[[#This Row],[Type]],LISTES!$A$2:$O$61,2,0)</f>
        <v>#N/A</v>
      </c>
      <c r="F137" s="136">
        <f>NETWORKDAYS.INTL(C137,D137,11,CALENDRIER!AF133:AF144)</f>
        <v>1</v>
      </c>
      <c r="G137" s="134"/>
      <c r="H137" s="137">
        <f>Tableau1[[#This Row],[Date début]]</f>
        <v>0</v>
      </c>
    </row>
    <row r="138" spans="1:8">
      <c r="A138" s="133" t="s">
        <v>181</v>
      </c>
      <c r="C138" s="134"/>
      <c r="D138" s="134">
        <f>Tableau1[[#This Row],[Date début]]</f>
        <v>0</v>
      </c>
      <c r="E138" s="136" t="e">
        <f>VLOOKUP(Tableau1[[#This Row],[Type]],LISTES!$A$2:$O$61,2,0)</f>
        <v>#N/A</v>
      </c>
      <c r="F138" s="136">
        <f>NETWORKDAYS.INTL(C138,D138,11,CALENDRIER!AF134:AF145)</f>
        <v>1</v>
      </c>
      <c r="G138" s="134"/>
      <c r="H138" s="137">
        <f>Tableau1[[#This Row],[Date début]]</f>
        <v>0</v>
      </c>
    </row>
    <row r="139" spans="1:8">
      <c r="A139" s="133" t="s">
        <v>181</v>
      </c>
      <c r="C139" s="134"/>
      <c r="D139" s="134">
        <f>Tableau1[[#This Row],[Date début]]</f>
        <v>0</v>
      </c>
      <c r="E139" s="136" t="e">
        <f>VLOOKUP(Tableau1[[#This Row],[Type]],LISTES!$A$2:$O$61,2,0)</f>
        <v>#N/A</v>
      </c>
      <c r="F139" s="136">
        <f>NETWORKDAYS.INTL(C139,D139,11,CALENDRIER!AF135:AF146)</f>
        <v>1</v>
      </c>
      <c r="G139" s="134"/>
      <c r="H139" s="137">
        <f>Tableau1[[#This Row],[Date début]]</f>
        <v>0</v>
      </c>
    </row>
    <row r="140" spans="1:8">
      <c r="A140" s="133" t="s">
        <v>181</v>
      </c>
      <c r="C140" s="134"/>
      <c r="D140" s="134">
        <f>Tableau1[[#This Row],[Date début]]</f>
        <v>0</v>
      </c>
      <c r="E140" s="136" t="e">
        <f>VLOOKUP(Tableau1[[#This Row],[Type]],LISTES!$A$2:$O$61,2,0)</f>
        <v>#N/A</v>
      </c>
      <c r="F140" s="136">
        <f>NETWORKDAYS.INTL(C140,D140,11,CALENDRIER!AF136:AF147)</f>
        <v>1</v>
      </c>
      <c r="G140" s="134"/>
      <c r="H140" s="137">
        <f>Tableau1[[#This Row],[Date début]]</f>
        <v>0</v>
      </c>
    </row>
    <row r="141" spans="1:8">
      <c r="A141" s="133" t="s">
        <v>181</v>
      </c>
      <c r="C141" s="134"/>
      <c r="D141" s="134">
        <f>Tableau1[[#This Row],[Date début]]</f>
        <v>0</v>
      </c>
      <c r="E141" s="136" t="e">
        <f>VLOOKUP(Tableau1[[#This Row],[Type]],LISTES!$A$2:$O$61,2,0)</f>
        <v>#N/A</v>
      </c>
      <c r="F141" s="136">
        <f>NETWORKDAYS.INTL(C141,D141,11,CALENDRIER!AF137:AF148)</f>
        <v>1</v>
      </c>
      <c r="G141" s="134"/>
      <c r="H141" s="137">
        <f>Tableau1[[#This Row],[Date début]]</f>
        <v>0</v>
      </c>
    </row>
    <row r="142" spans="1:8">
      <c r="A142" s="133" t="s">
        <v>181</v>
      </c>
      <c r="C142" s="134"/>
      <c r="D142" s="134">
        <f>Tableau1[[#This Row],[Date début]]</f>
        <v>0</v>
      </c>
      <c r="E142" s="136" t="e">
        <f>VLOOKUP(Tableau1[[#This Row],[Type]],LISTES!$A$2:$O$61,2,0)</f>
        <v>#N/A</v>
      </c>
      <c r="F142" s="136">
        <f>NETWORKDAYS.INTL(C142,D142,11,CALENDRIER!AF138:AF149)</f>
        <v>1</v>
      </c>
      <c r="G142" s="134"/>
      <c r="H142" s="137">
        <f>Tableau1[[#This Row],[Date début]]</f>
        <v>0</v>
      </c>
    </row>
    <row r="143" spans="1:8">
      <c r="A143" s="133" t="s">
        <v>181</v>
      </c>
      <c r="C143" s="134"/>
      <c r="D143" s="134">
        <f>Tableau1[[#This Row],[Date début]]</f>
        <v>0</v>
      </c>
      <c r="E143" s="136" t="e">
        <f>VLOOKUP(Tableau1[[#This Row],[Type]],LISTES!$A$2:$O$61,2,0)</f>
        <v>#N/A</v>
      </c>
      <c r="F143" s="136">
        <f>NETWORKDAYS.INTL(C143,D143,11,CALENDRIER!AF139:AF150)</f>
        <v>1</v>
      </c>
      <c r="G143" s="134"/>
      <c r="H143" s="137">
        <f>Tableau1[[#This Row],[Date début]]</f>
        <v>0</v>
      </c>
    </row>
    <row r="144" spans="1:8">
      <c r="A144" s="133" t="s">
        <v>181</v>
      </c>
      <c r="C144" s="134"/>
      <c r="D144" s="134">
        <f>Tableau1[[#This Row],[Date début]]</f>
        <v>0</v>
      </c>
      <c r="E144" s="136" t="e">
        <f>VLOOKUP(Tableau1[[#This Row],[Type]],LISTES!$A$2:$O$61,2,0)</f>
        <v>#N/A</v>
      </c>
      <c r="F144" s="136">
        <f>NETWORKDAYS.INTL(C144,D144,11,CALENDRIER!AF140:AF151)</f>
        <v>1</v>
      </c>
      <c r="G144" s="134"/>
      <c r="H144" s="137">
        <f>Tableau1[[#This Row],[Date début]]</f>
        <v>0</v>
      </c>
    </row>
    <row r="145" spans="1:8">
      <c r="A145" s="133" t="s">
        <v>181</v>
      </c>
      <c r="C145" s="134"/>
      <c r="D145" s="134">
        <f>Tableau1[[#This Row],[Date début]]</f>
        <v>0</v>
      </c>
      <c r="E145" s="136" t="e">
        <f>VLOOKUP(Tableau1[[#This Row],[Type]],LISTES!$A$2:$O$61,2,0)</f>
        <v>#N/A</v>
      </c>
      <c r="F145" s="136">
        <f>NETWORKDAYS.INTL(C145,D145,11,CALENDRIER!AF141:AF152)</f>
        <v>1</v>
      </c>
      <c r="G145" s="134"/>
      <c r="H145" s="137">
        <f>Tableau1[[#This Row],[Date début]]</f>
        <v>0</v>
      </c>
    </row>
    <row r="146" spans="1:8">
      <c r="A146" s="133" t="s">
        <v>181</v>
      </c>
      <c r="C146" s="134"/>
      <c r="D146" s="134">
        <f>Tableau1[[#This Row],[Date début]]</f>
        <v>0</v>
      </c>
      <c r="E146" s="136" t="e">
        <f>VLOOKUP(Tableau1[[#This Row],[Type]],LISTES!$A$2:$O$61,2,0)</f>
        <v>#N/A</v>
      </c>
      <c r="F146" s="136">
        <f>NETWORKDAYS.INTL(C146,D146,11,CALENDRIER!AF142:AF153)</f>
        <v>1</v>
      </c>
      <c r="G146" s="134"/>
      <c r="H146" s="137">
        <f>Tableau1[[#This Row],[Date début]]</f>
        <v>0</v>
      </c>
    </row>
    <row r="147" spans="1:8">
      <c r="A147" s="133" t="s">
        <v>181</v>
      </c>
      <c r="C147" s="134"/>
      <c r="D147" s="134">
        <f>Tableau1[[#This Row],[Date début]]</f>
        <v>0</v>
      </c>
      <c r="E147" s="136" t="e">
        <f>VLOOKUP(Tableau1[[#This Row],[Type]],LISTES!$A$2:$O$61,2,0)</f>
        <v>#N/A</v>
      </c>
      <c r="F147" s="136">
        <f>NETWORKDAYS.INTL(C147,D147,11,CALENDRIER!AF143:AF154)</f>
        <v>1</v>
      </c>
      <c r="G147" s="134"/>
      <c r="H147" s="137">
        <f>Tableau1[[#This Row],[Date début]]</f>
        <v>0</v>
      </c>
    </row>
    <row r="148" spans="1:8">
      <c r="A148" s="133" t="s">
        <v>181</v>
      </c>
      <c r="C148" s="134"/>
      <c r="D148" s="134">
        <f>Tableau1[[#This Row],[Date début]]</f>
        <v>0</v>
      </c>
      <c r="E148" s="136" t="e">
        <f>VLOOKUP(Tableau1[[#This Row],[Type]],LISTES!$A$2:$O$61,2,0)</f>
        <v>#N/A</v>
      </c>
      <c r="F148" s="136">
        <f>NETWORKDAYS.INTL(C148,D148,11,CALENDRIER!AF144:AF155)</f>
        <v>1</v>
      </c>
      <c r="G148" s="134"/>
      <c r="H148" s="137">
        <f>Tableau1[[#This Row],[Date début]]</f>
        <v>0</v>
      </c>
    </row>
    <row r="149" spans="1:8">
      <c r="A149" s="133" t="s">
        <v>181</v>
      </c>
      <c r="C149" s="134"/>
      <c r="D149" s="134">
        <f>Tableau1[[#This Row],[Date début]]</f>
        <v>0</v>
      </c>
      <c r="E149" s="136" t="e">
        <f>VLOOKUP(Tableau1[[#This Row],[Type]],LISTES!$A$2:$O$61,2,0)</f>
        <v>#N/A</v>
      </c>
      <c r="F149" s="136">
        <f>NETWORKDAYS.INTL(C149,D149,11,CALENDRIER!AF145:AF156)</f>
        <v>1</v>
      </c>
      <c r="G149" s="134"/>
      <c r="H149" s="137">
        <f>Tableau1[[#This Row],[Date début]]</f>
        <v>0</v>
      </c>
    </row>
    <row r="150" spans="1:8">
      <c r="A150" s="133" t="s">
        <v>181</v>
      </c>
      <c r="C150" s="134"/>
      <c r="D150" s="134">
        <f>Tableau1[[#This Row],[Date début]]</f>
        <v>0</v>
      </c>
      <c r="E150" s="136" t="e">
        <f>VLOOKUP(Tableau1[[#This Row],[Type]],LISTES!$A$2:$O$61,2,0)</f>
        <v>#N/A</v>
      </c>
      <c r="F150" s="136">
        <f>NETWORKDAYS.INTL(C150,D150,11,CALENDRIER!AF146:AF157)</f>
        <v>1</v>
      </c>
      <c r="G150" s="134"/>
      <c r="H150" s="137">
        <f>Tableau1[[#This Row],[Date début]]</f>
        <v>0</v>
      </c>
    </row>
    <row r="151" spans="1:8">
      <c r="A151" s="133" t="s">
        <v>181</v>
      </c>
      <c r="C151" s="134"/>
      <c r="D151" s="134">
        <f>Tableau1[[#This Row],[Date début]]</f>
        <v>0</v>
      </c>
      <c r="E151" s="136" t="e">
        <f>VLOOKUP(Tableau1[[#This Row],[Type]],LISTES!$A$2:$O$61,2,0)</f>
        <v>#N/A</v>
      </c>
      <c r="F151" s="136">
        <f>NETWORKDAYS.INTL(C151,D151,11,CALENDRIER!AF147:AF158)</f>
        <v>1</v>
      </c>
      <c r="G151" s="134"/>
      <c r="H151" s="137">
        <f>Tableau1[[#This Row],[Date début]]</f>
        <v>0</v>
      </c>
    </row>
    <row r="152" spans="1:8">
      <c r="A152" s="133" t="s">
        <v>181</v>
      </c>
      <c r="C152" s="134"/>
      <c r="D152" s="134">
        <f>Tableau1[[#This Row],[Date début]]</f>
        <v>0</v>
      </c>
      <c r="E152" s="136" t="e">
        <f>VLOOKUP(Tableau1[[#This Row],[Type]],LISTES!$A$2:$O$61,2,0)</f>
        <v>#N/A</v>
      </c>
      <c r="F152" s="136">
        <f>NETWORKDAYS.INTL(C152,D152,11,CALENDRIER!AF148:AF159)</f>
        <v>1</v>
      </c>
      <c r="G152" s="134"/>
      <c r="H152" s="137">
        <f>Tableau1[[#This Row],[Date début]]</f>
        <v>0</v>
      </c>
    </row>
    <row r="153" spans="1:8">
      <c r="A153" s="133" t="s">
        <v>181</v>
      </c>
      <c r="C153" s="134"/>
      <c r="D153" s="134">
        <f>Tableau1[[#This Row],[Date début]]</f>
        <v>0</v>
      </c>
      <c r="E153" s="136" t="e">
        <f>VLOOKUP(Tableau1[[#This Row],[Type]],LISTES!$A$2:$O$61,2,0)</f>
        <v>#N/A</v>
      </c>
      <c r="F153" s="136">
        <f>NETWORKDAYS.INTL(C153,D153,11,CALENDRIER!AF149:AF160)</f>
        <v>1</v>
      </c>
      <c r="G153" s="134"/>
      <c r="H153" s="137">
        <f>Tableau1[[#This Row],[Date début]]</f>
        <v>0</v>
      </c>
    </row>
    <row r="154" spans="1:8">
      <c r="A154" s="133" t="s">
        <v>181</v>
      </c>
      <c r="C154" s="134"/>
      <c r="D154" s="134">
        <f>Tableau1[[#This Row],[Date début]]</f>
        <v>0</v>
      </c>
      <c r="E154" s="136" t="e">
        <f>VLOOKUP(Tableau1[[#This Row],[Type]],LISTES!$A$2:$O$61,2,0)</f>
        <v>#N/A</v>
      </c>
      <c r="F154" s="136">
        <f>NETWORKDAYS.INTL(C154,D154,11,CALENDRIER!AF150:AF161)</f>
        <v>1</v>
      </c>
      <c r="G154" s="134"/>
      <c r="H154" s="137">
        <f>Tableau1[[#This Row],[Date début]]</f>
        <v>0</v>
      </c>
    </row>
    <row r="155" spans="1:8">
      <c r="A155" s="133" t="s">
        <v>181</v>
      </c>
      <c r="C155" s="134"/>
      <c r="D155" s="134">
        <f>Tableau1[[#This Row],[Date début]]</f>
        <v>0</v>
      </c>
      <c r="E155" s="136" t="e">
        <f>VLOOKUP(Tableau1[[#This Row],[Type]],LISTES!$A$2:$O$61,2,0)</f>
        <v>#N/A</v>
      </c>
      <c r="F155" s="136">
        <f>NETWORKDAYS.INTL(C155,D155,11,CALENDRIER!AF151:AF162)</f>
        <v>1</v>
      </c>
      <c r="G155" s="134"/>
      <c r="H155" s="137">
        <f>Tableau1[[#This Row],[Date début]]</f>
        <v>0</v>
      </c>
    </row>
    <row r="156" spans="1:8">
      <c r="A156" s="133" t="s">
        <v>181</v>
      </c>
      <c r="C156" s="134"/>
      <c r="D156" s="134">
        <f>Tableau1[[#This Row],[Date début]]</f>
        <v>0</v>
      </c>
      <c r="E156" s="136" t="e">
        <f>VLOOKUP(Tableau1[[#This Row],[Type]],LISTES!$A$2:$O$61,2,0)</f>
        <v>#N/A</v>
      </c>
      <c r="F156" s="136">
        <f>NETWORKDAYS.INTL(C156,D156,11,CALENDRIER!AF152:AF163)</f>
        <v>1</v>
      </c>
      <c r="G156" s="134"/>
      <c r="H156" s="137">
        <f>Tableau1[[#This Row],[Date début]]</f>
        <v>0</v>
      </c>
    </row>
    <row r="157" spans="1:8">
      <c r="A157" s="133" t="s">
        <v>181</v>
      </c>
      <c r="C157" s="134"/>
      <c r="D157" s="134">
        <f>Tableau1[[#This Row],[Date début]]</f>
        <v>0</v>
      </c>
      <c r="E157" s="136" t="e">
        <f>VLOOKUP(Tableau1[[#This Row],[Type]],LISTES!$A$2:$O$61,2,0)</f>
        <v>#N/A</v>
      </c>
      <c r="F157" s="136">
        <f>NETWORKDAYS.INTL(C157,D157,11,CALENDRIER!AF153:AF164)</f>
        <v>1</v>
      </c>
      <c r="G157" s="134"/>
      <c r="H157" s="137">
        <f>Tableau1[[#This Row],[Date début]]</f>
        <v>0</v>
      </c>
    </row>
    <row r="158" spans="1:8">
      <c r="A158" s="133" t="s">
        <v>181</v>
      </c>
      <c r="C158" s="134"/>
      <c r="D158" s="134">
        <f>Tableau1[[#This Row],[Date début]]</f>
        <v>0</v>
      </c>
      <c r="E158" s="136" t="e">
        <f>VLOOKUP(Tableau1[[#This Row],[Type]],LISTES!$A$2:$O$61,2,0)</f>
        <v>#N/A</v>
      </c>
      <c r="F158" s="136">
        <f>NETWORKDAYS.INTL(C158,D158,11,CALENDRIER!AF154:AF165)</f>
        <v>1</v>
      </c>
      <c r="G158" s="134"/>
      <c r="H158" s="137">
        <f>Tableau1[[#This Row],[Date début]]</f>
        <v>0</v>
      </c>
    </row>
    <row r="159" spans="1:8">
      <c r="A159" s="133" t="s">
        <v>181</v>
      </c>
      <c r="C159" s="134"/>
      <c r="D159" s="134">
        <f>Tableau1[[#This Row],[Date début]]</f>
        <v>0</v>
      </c>
      <c r="E159" s="136" t="e">
        <f>VLOOKUP(Tableau1[[#This Row],[Type]],LISTES!$A$2:$O$61,2,0)</f>
        <v>#N/A</v>
      </c>
      <c r="F159" s="136">
        <f>NETWORKDAYS.INTL(C159,D159,11,CALENDRIER!AF155:AF166)</f>
        <v>1</v>
      </c>
      <c r="G159" s="134"/>
      <c r="H159" s="137">
        <f>Tableau1[[#This Row],[Date début]]</f>
        <v>0</v>
      </c>
    </row>
    <row r="160" spans="1:8">
      <c r="A160" s="133" t="s">
        <v>181</v>
      </c>
      <c r="C160" s="134"/>
      <c r="D160" s="134">
        <f>Tableau1[[#This Row],[Date début]]</f>
        <v>0</v>
      </c>
      <c r="E160" s="136" t="e">
        <f>VLOOKUP(Tableau1[[#This Row],[Type]],LISTES!$A$2:$O$61,2,0)</f>
        <v>#N/A</v>
      </c>
      <c r="F160" s="136">
        <f>NETWORKDAYS.INTL(C160,D160,11,CALENDRIER!AF156:AF167)</f>
        <v>1</v>
      </c>
      <c r="G160" s="134"/>
      <c r="H160" s="137">
        <f>Tableau1[[#This Row],[Date début]]</f>
        <v>0</v>
      </c>
    </row>
    <row r="161" spans="1:8">
      <c r="A161" s="133" t="s">
        <v>181</v>
      </c>
      <c r="C161" s="134"/>
      <c r="D161" s="134">
        <f>Tableau1[[#This Row],[Date début]]</f>
        <v>0</v>
      </c>
      <c r="E161" s="136" t="e">
        <f>VLOOKUP(Tableau1[[#This Row],[Type]],LISTES!$A$2:$O$61,2,0)</f>
        <v>#N/A</v>
      </c>
      <c r="F161" s="136">
        <f>NETWORKDAYS.INTL(C161,D161,11,CALENDRIER!AF157:AF168)</f>
        <v>1</v>
      </c>
      <c r="G161" s="134"/>
      <c r="H161" s="137">
        <f>Tableau1[[#This Row],[Date début]]</f>
        <v>0</v>
      </c>
    </row>
    <row r="162" spans="1:8">
      <c r="A162" s="133" t="s">
        <v>181</v>
      </c>
      <c r="C162" s="134"/>
      <c r="D162" s="134">
        <f>Tableau1[[#This Row],[Date début]]</f>
        <v>0</v>
      </c>
      <c r="E162" s="136" t="e">
        <f>VLOOKUP(Tableau1[[#This Row],[Type]],LISTES!$A$2:$O$61,2,0)</f>
        <v>#N/A</v>
      </c>
      <c r="F162" s="136">
        <f>NETWORKDAYS.INTL(C162,D162,11,CALENDRIER!AF158:AF169)</f>
        <v>1</v>
      </c>
      <c r="G162" s="134"/>
      <c r="H162" s="137">
        <f>Tableau1[[#This Row],[Date début]]</f>
        <v>0</v>
      </c>
    </row>
    <row r="163" spans="1:8">
      <c r="A163" s="133" t="s">
        <v>181</v>
      </c>
      <c r="C163" s="134"/>
      <c r="D163" s="134">
        <f>Tableau1[[#This Row],[Date début]]</f>
        <v>0</v>
      </c>
      <c r="E163" s="136" t="e">
        <f>VLOOKUP(Tableau1[[#This Row],[Type]],LISTES!$A$2:$O$61,2,0)</f>
        <v>#N/A</v>
      </c>
      <c r="F163" s="136">
        <f>NETWORKDAYS.INTL(C163,D163,11,CALENDRIER!AF159:AF170)</f>
        <v>1</v>
      </c>
      <c r="G163" s="134"/>
      <c r="H163" s="137">
        <f>Tableau1[[#This Row],[Date début]]</f>
        <v>0</v>
      </c>
    </row>
    <row r="164" spans="1:8">
      <c r="A164" s="133" t="s">
        <v>181</v>
      </c>
      <c r="C164" s="134"/>
      <c r="D164" s="134">
        <f>Tableau1[[#This Row],[Date début]]</f>
        <v>0</v>
      </c>
      <c r="E164" s="136" t="e">
        <f>VLOOKUP(Tableau1[[#This Row],[Type]],LISTES!$A$2:$O$61,2,0)</f>
        <v>#N/A</v>
      </c>
      <c r="F164" s="136">
        <f>NETWORKDAYS.INTL(C164,D164,11,CALENDRIER!AF160:AF171)</f>
        <v>1</v>
      </c>
      <c r="G164" s="134"/>
      <c r="H164" s="137">
        <f>Tableau1[[#This Row],[Date début]]</f>
        <v>0</v>
      </c>
    </row>
    <row r="165" spans="1:8">
      <c r="A165" s="133" t="s">
        <v>181</v>
      </c>
      <c r="C165" s="134"/>
      <c r="D165" s="134">
        <f>Tableau1[[#This Row],[Date début]]</f>
        <v>0</v>
      </c>
      <c r="E165" s="136" t="e">
        <f>VLOOKUP(Tableau1[[#This Row],[Type]],LISTES!$A$2:$O$61,2,0)</f>
        <v>#N/A</v>
      </c>
      <c r="F165" s="136">
        <f>NETWORKDAYS.INTL(C165,D165,11,CALENDRIER!AF161:AF172)</f>
        <v>1</v>
      </c>
      <c r="G165" s="134"/>
      <c r="H165" s="137">
        <f>Tableau1[[#This Row],[Date début]]</f>
        <v>0</v>
      </c>
    </row>
    <row r="166" spans="1:8">
      <c r="A166" s="133" t="s">
        <v>181</v>
      </c>
      <c r="C166" s="134"/>
      <c r="D166" s="134">
        <f>Tableau1[[#This Row],[Date début]]</f>
        <v>0</v>
      </c>
      <c r="E166" s="136" t="e">
        <f>VLOOKUP(Tableau1[[#This Row],[Type]],LISTES!$A$2:$O$61,2,0)</f>
        <v>#N/A</v>
      </c>
      <c r="F166" s="136">
        <f>NETWORKDAYS.INTL(C166,D166,11,CALENDRIER!AF162:AF173)</f>
        <v>1</v>
      </c>
      <c r="G166" s="134"/>
      <c r="H166" s="137">
        <f>Tableau1[[#This Row],[Date début]]</f>
        <v>0</v>
      </c>
    </row>
    <row r="167" spans="1:8">
      <c r="A167" s="133" t="s">
        <v>181</v>
      </c>
      <c r="C167" s="134"/>
      <c r="D167" s="134">
        <f>Tableau1[[#This Row],[Date début]]</f>
        <v>0</v>
      </c>
      <c r="E167" s="136" t="e">
        <f>VLOOKUP(Tableau1[[#This Row],[Type]],LISTES!$A$2:$O$61,2,0)</f>
        <v>#N/A</v>
      </c>
      <c r="F167" s="136">
        <f>NETWORKDAYS.INTL(C167,D167,11,CALENDRIER!AF163:AF174)</f>
        <v>1</v>
      </c>
      <c r="G167" s="134"/>
      <c r="H167" s="137">
        <f>Tableau1[[#This Row],[Date début]]</f>
        <v>0</v>
      </c>
    </row>
    <row r="168" spans="1:8">
      <c r="A168" s="133" t="s">
        <v>181</v>
      </c>
      <c r="C168" s="134"/>
      <c r="D168" s="134">
        <f>Tableau1[[#This Row],[Date début]]</f>
        <v>0</v>
      </c>
      <c r="E168" s="136" t="e">
        <f>VLOOKUP(Tableau1[[#This Row],[Type]],LISTES!$A$2:$O$61,2,0)</f>
        <v>#N/A</v>
      </c>
      <c r="F168" s="136">
        <f>NETWORKDAYS.INTL(C168,D168,11,CALENDRIER!AF164:AF175)</f>
        <v>1</v>
      </c>
      <c r="G168" s="134"/>
      <c r="H168" s="137">
        <f>Tableau1[[#This Row],[Date début]]</f>
        <v>0</v>
      </c>
    </row>
    <row r="169" spans="1:8">
      <c r="A169" s="133" t="s">
        <v>181</v>
      </c>
      <c r="C169" s="134"/>
      <c r="D169" s="134">
        <f>Tableau1[[#This Row],[Date début]]</f>
        <v>0</v>
      </c>
      <c r="E169" s="136" t="e">
        <f>VLOOKUP(Tableau1[[#This Row],[Type]],LISTES!$A$2:$O$61,2,0)</f>
        <v>#N/A</v>
      </c>
      <c r="F169" s="136">
        <f>NETWORKDAYS.INTL(C169,D169,11,CALENDRIER!AF165:AF176)</f>
        <v>1</v>
      </c>
      <c r="G169" s="134"/>
      <c r="H169" s="137">
        <f>Tableau1[[#This Row],[Date début]]</f>
        <v>0</v>
      </c>
    </row>
    <row r="170" spans="1:8">
      <c r="A170" s="133" t="s">
        <v>181</v>
      </c>
      <c r="C170" s="134"/>
      <c r="D170" s="134">
        <f>Tableau1[[#This Row],[Date début]]</f>
        <v>0</v>
      </c>
      <c r="E170" s="136" t="e">
        <f>VLOOKUP(Tableau1[[#This Row],[Type]],LISTES!$A$2:$O$61,2,0)</f>
        <v>#N/A</v>
      </c>
      <c r="F170" s="136">
        <f>NETWORKDAYS.INTL(C170,D170,11,CALENDRIER!AF166:AF177)</f>
        <v>1</v>
      </c>
      <c r="G170" s="134"/>
      <c r="H170" s="137">
        <f>Tableau1[[#This Row],[Date début]]</f>
        <v>0</v>
      </c>
    </row>
    <row r="171" spans="1:8">
      <c r="A171" s="133" t="s">
        <v>181</v>
      </c>
      <c r="C171" s="134"/>
      <c r="D171" s="134">
        <f>Tableau1[[#This Row],[Date début]]</f>
        <v>0</v>
      </c>
      <c r="E171" s="136" t="e">
        <f>VLOOKUP(Tableau1[[#This Row],[Type]],LISTES!$A$2:$O$61,2,0)</f>
        <v>#N/A</v>
      </c>
      <c r="F171" s="136">
        <f>NETWORKDAYS.INTL(C171,D171,11,CALENDRIER!AF167:AF178)</f>
        <v>1</v>
      </c>
      <c r="G171" s="134"/>
      <c r="H171" s="137">
        <f>Tableau1[[#This Row],[Date début]]</f>
        <v>0</v>
      </c>
    </row>
    <row r="172" spans="1:8">
      <c r="A172" s="133" t="s">
        <v>181</v>
      </c>
      <c r="C172" s="134"/>
      <c r="D172" s="134">
        <f>Tableau1[[#This Row],[Date début]]</f>
        <v>0</v>
      </c>
      <c r="E172" s="136" t="e">
        <f>VLOOKUP(Tableau1[[#This Row],[Type]],LISTES!$A$2:$O$61,2,0)</f>
        <v>#N/A</v>
      </c>
      <c r="F172" s="136">
        <f>NETWORKDAYS.INTL(C172,D172,11,CALENDRIER!AF168:AF179)</f>
        <v>1</v>
      </c>
      <c r="G172" s="134"/>
      <c r="H172" s="137">
        <f>Tableau1[[#This Row],[Date début]]</f>
        <v>0</v>
      </c>
    </row>
    <row r="173" spans="1:8">
      <c r="A173" s="133" t="s">
        <v>181</v>
      </c>
      <c r="C173" s="134"/>
      <c r="D173" s="134">
        <f>Tableau1[[#This Row],[Date début]]</f>
        <v>0</v>
      </c>
      <c r="E173" s="136" t="e">
        <f>VLOOKUP(Tableau1[[#This Row],[Type]],LISTES!$A$2:$O$61,2,0)</f>
        <v>#N/A</v>
      </c>
      <c r="F173" s="136">
        <f>NETWORKDAYS.INTL(C173,D173,11,CALENDRIER!AF169:AF180)</f>
        <v>1</v>
      </c>
      <c r="G173" s="134"/>
      <c r="H173" s="137">
        <f>Tableau1[[#This Row],[Date début]]</f>
        <v>0</v>
      </c>
    </row>
    <row r="174" spans="1:8">
      <c r="A174" s="133" t="s">
        <v>181</v>
      </c>
      <c r="C174" s="134"/>
      <c r="D174" s="134">
        <f>Tableau1[[#This Row],[Date début]]</f>
        <v>0</v>
      </c>
      <c r="E174" s="136" t="e">
        <f>VLOOKUP(Tableau1[[#This Row],[Type]],LISTES!$A$2:$O$61,2,0)</f>
        <v>#N/A</v>
      </c>
      <c r="F174" s="136">
        <f>NETWORKDAYS.INTL(C174,D174,11,CALENDRIER!AF170:AF181)</f>
        <v>1</v>
      </c>
      <c r="G174" s="134"/>
      <c r="H174" s="137">
        <f>Tableau1[[#This Row],[Date début]]</f>
        <v>0</v>
      </c>
    </row>
    <row r="175" spans="1:8">
      <c r="A175" s="133" t="s">
        <v>181</v>
      </c>
      <c r="C175" s="134"/>
      <c r="D175" s="134">
        <f>Tableau1[[#This Row],[Date début]]</f>
        <v>0</v>
      </c>
      <c r="E175" s="136" t="e">
        <f>VLOOKUP(Tableau1[[#This Row],[Type]],LISTES!$A$2:$O$61,2,0)</f>
        <v>#N/A</v>
      </c>
      <c r="F175" s="136">
        <f>NETWORKDAYS.INTL(C175,D175,11,CALENDRIER!AF171:AF182)</f>
        <v>1</v>
      </c>
      <c r="G175" s="134"/>
      <c r="H175" s="137">
        <f>Tableau1[[#This Row],[Date début]]</f>
        <v>0</v>
      </c>
    </row>
    <row r="176" spans="1:8">
      <c r="A176" s="133" t="s">
        <v>181</v>
      </c>
      <c r="C176" s="134"/>
      <c r="D176" s="134">
        <f>Tableau1[[#This Row],[Date début]]</f>
        <v>0</v>
      </c>
      <c r="E176" s="136" t="e">
        <f>VLOOKUP(Tableau1[[#This Row],[Type]],LISTES!$A$2:$O$61,2,0)</f>
        <v>#N/A</v>
      </c>
      <c r="F176" s="136">
        <f>NETWORKDAYS.INTL(C176,D176,11,CALENDRIER!AF172:AF183)</f>
        <v>1</v>
      </c>
      <c r="G176" s="134"/>
      <c r="H176" s="137">
        <f>Tableau1[[#This Row],[Date début]]</f>
        <v>0</v>
      </c>
    </row>
    <row r="177" spans="1:8">
      <c r="A177" s="133" t="s">
        <v>181</v>
      </c>
      <c r="C177" s="134"/>
      <c r="D177" s="134">
        <f>Tableau1[[#This Row],[Date début]]</f>
        <v>0</v>
      </c>
      <c r="E177" s="136" t="e">
        <f>VLOOKUP(Tableau1[[#This Row],[Type]],LISTES!$A$2:$O$61,2,0)</f>
        <v>#N/A</v>
      </c>
      <c r="F177" s="136">
        <f>NETWORKDAYS.INTL(C177,D177,11,CALENDRIER!AF173:AF184)</f>
        <v>1</v>
      </c>
      <c r="G177" s="134"/>
      <c r="H177" s="137">
        <f>Tableau1[[#This Row],[Date début]]</f>
        <v>0</v>
      </c>
    </row>
    <row r="178" spans="1:8">
      <c r="A178" s="133" t="s">
        <v>181</v>
      </c>
      <c r="C178" s="134"/>
      <c r="D178" s="134">
        <f>Tableau1[[#This Row],[Date début]]</f>
        <v>0</v>
      </c>
      <c r="E178" s="136" t="e">
        <f>VLOOKUP(Tableau1[[#This Row],[Type]],LISTES!$A$2:$O$61,2,0)</f>
        <v>#N/A</v>
      </c>
      <c r="F178" s="136">
        <f>NETWORKDAYS.INTL(C178,D178,11,CALENDRIER!AF174:AF185)</f>
        <v>1</v>
      </c>
      <c r="G178" s="134"/>
      <c r="H178" s="137">
        <f>Tableau1[[#This Row],[Date début]]</f>
        <v>0</v>
      </c>
    </row>
    <row r="179" spans="1:8">
      <c r="A179" s="133" t="s">
        <v>181</v>
      </c>
      <c r="C179" s="134"/>
      <c r="D179" s="134">
        <f>Tableau1[[#This Row],[Date début]]</f>
        <v>0</v>
      </c>
      <c r="E179" s="136" t="e">
        <f>VLOOKUP(Tableau1[[#This Row],[Type]],LISTES!$A$2:$O$61,2,0)</f>
        <v>#N/A</v>
      </c>
      <c r="F179" s="136">
        <f>NETWORKDAYS.INTL(C179,D179,11,CALENDRIER!AF175:AF186)</f>
        <v>1</v>
      </c>
      <c r="G179" s="134"/>
      <c r="H179" s="137">
        <f>Tableau1[[#This Row],[Date début]]</f>
        <v>0</v>
      </c>
    </row>
    <row r="180" spans="1:8">
      <c r="A180" s="133" t="s">
        <v>181</v>
      </c>
      <c r="C180" s="134"/>
      <c r="D180" s="134">
        <f>Tableau1[[#This Row],[Date début]]</f>
        <v>0</v>
      </c>
      <c r="E180" s="136" t="e">
        <f>VLOOKUP(Tableau1[[#This Row],[Type]],LISTES!$A$2:$O$61,2,0)</f>
        <v>#N/A</v>
      </c>
      <c r="F180" s="136">
        <f>NETWORKDAYS.INTL(C180,D180,11,CALENDRIER!AF176:AF187)</f>
        <v>1</v>
      </c>
      <c r="G180" s="134"/>
      <c r="H180" s="137">
        <f>Tableau1[[#This Row],[Date début]]</f>
        <v>0</v>
      </c>
    </row>
    <row r="181" spans="1:8">
      <c r="A181" s="133" t="s">
        <v>181</v>
      </c>
      <c r="C181" s="134"/>
      <c r="D181" s="134">
        <f>Tableau1[[#This Row],[Date début]]</f>
        <v>0</v>
      </c>
      <c r="E181" s="136" t="e">
        <f>VLOOKUP(Tableau1[[#This Row],[Type]],LISTES!$A$2:$O$61,2,0)</f>
        <v>#N/A</v>
      </c>
      <c r="F181" s="136">
        <f>NETWORKDAYS.INTL(C181,D181,11,CALENDRIER!AF177:AF188)</f>
        <v>1</v>
      </c>
      <c r="G181" s="134"/>
      <c r="H181" s="137">
        <f>Tableau1[[#This Row],[Date début]]</f>
        <v>0</v>
      </c>
    </row>
    <row r="182" spans="1:8">
      <c r="A182" s="133" t="s">
        <v>181</v>
      </c>
      <c r="C182" s="134"/>
      <c r="D182" s="134">
        <f>Tableau1[[#This Row],[Date début]]</f>
        <v>0</v>
      </c>
      <c r="E182" s="136" t="e">
        <f>VLOOKUP(Tableau1[[#This Row],[Type]],LISTES!$A$2:$O$61,2,0)</f>
        <v>#N/A</v>
      </c>
      <c r="F182" s="136">
        <f>NETWORKDAYS.INTL(C182,D182,11,CALENDRIER!AF178:AF189)</f>
        <v>1</v>
      </c>
      <c r="G182" s="134"/>
      <c r="H182" s="137">
        <f>Tableau1[[#This Row],[Date début]]</f>
        <v>0</v>
      </c>
    </row>
    <row r="183" spans="1:8">
      <c r="A183" s="133" t="s">
        <v>181</v>
      </c>
      <c r="C183" s="134"/>
      <c r="D183" s="134">
        <f>Tableau1[[#This Row],[Date début]]</f>
        <v>0</v>
      </c>
      <c r="E183" s="136" t="e">
        <f>VLOOKUP(Tableau1[[#This Row],[Type]],LISTES!$A$2:$O$61,2,0)</f>
        <v>#N/A</v>
      </c>
      <c r="F183" s="136">
        <f>NETWORKDAYS.INTL(C183,D183,11,CALENDRIER!AF179:AF190)</f>
        <v>1</v>
      </c>
      <c r="G183" s="134"/>
      <c r="H183" s="137">
        <f>Tableau1[[#This Row],[Date début]]</f>
        <v>0</v>
      </c>
    </row>
    <row r="184" spans="1:8">
      <c r="A184" s="133" t="s">
        <v>181</v>
      </c>
      <c r="C184" s="134"/>
      <c r="D184" s="134">
        <f>Tableau1[[#This Row],[Date début]]</f>
        <v>0</v>
      </c>
      <c r="E184" s="136" t="e">
        <f>VLOOKUP(Tableau1[[#This Row],[Type]],LISTES!$A$2:$O$61,2,0)</f>
        <v>#N/A</v>
      </c>
      <c r="F184" s="136">
        <f>NETWORKDAYS.INTL(C184,D184,11,CALENDRIER!AF180:AF191)</f>
        <v>1</v>
      </c>
      <c r="G184" s="134"/>
      <c r="H184" s="137">
        <f>Tableau1[[#This Row],[Date début]]</f>
        <v>0</v>
      </c>
    </row>
    <row r="185" spans="1:8">
      <c r="A185" s="133" t="s">
        <v>181</v>
      </c>
      <c r="C185" s="134"/>
      <c r="D185" s="134">
        <f>Tableau1[[#This Row],[Date début]]</f>
        <v>0</v>
      </c>
      <c r="E185" s="136" t="e">
        <f>VLOOKUP(Tableau1[[#This Row],[Type]],LISTES!$A$2:$O$61,2,0)</f>
        <v>#N/A</v>
      </c>
      <c r="F185" s="136">
        <f>NETWORKDAYS.INTL(C185,D185,11,CALENDRIER!AF181:AF192)</f>
        <v>1</v>
      </c>
      <c r="G185" s="134"/>
      <c r="H185" s="137">
        <f>Tableau1[[#This Row],[Date début]]</f>
        <v>0</v>
      </c>
    </row>
    <row r="186" spans="1:8">
      <c r="A186" s="133" t="s">
        <v>181</v>
      </c>
      <c r="C186" s="134"/>
      <c r="D186" s="134">
        <f>Tableau1[[#This Row],[Date début]]</f>
        <v>0</v>
      </c>
      <c r="E186" s="136" t="e">
        <f>VLOOKUP(Tableau1[[#This Row],[Type]],LISTES!$A$2:$O$61,2,0)</f>
        <v>#N/A</v>
      </c>
      <c r="F186" s="136">
        <f>NETWORKDAYS.INTL(C186,D186,11,CALENDRIER!AF182:AF193)</f>
        <v>1</v>
      </c>
      <c r="G186" s="134"/>
      <c r="H186" s="137">
        <f>Tableau1[[#This Row],[Date début]]</f>
        <v>0</v>
      </c>
    </row>
    <row r="187" spans="1:8">
      <c r="A187" s="133" t="s">
        <v>181</v>
      </c>
      <c r="C187" s="134"/>
      <c r="D187" s="134">
        <f>Tableau1[[#This Row],[Date début]]</f>
        <v>0</v>
      </c>
      <c r="E187" s="136" t="e">
        <f>VLOOKUP(Tableau1[[#This Row],[Type]],LISTES!$A$2:$O$61,2,0)</f>
        <v>#N/A</v>
      </c>
      <c r="F187" s="136">
        <f>NETWORKDAYS.INTL(C187,D187,11,CALENDRIER!AF183:AF194)</f>
        <v>1</v>
      </c>
      <c r="G187" s="134"/>
      <c r="H187" s="137">
        <f>Tableau1[[#This Row],[Date début]]</f>
        <v>0</v>
      </c>
    </row>
    <row r="188" spans="1:8">
      <c r="A188" s="133" t="s">
        <v>181</v>
      </c>
      <c r="C188" s="134"/>
      <c r="D188" s="134">
        <f>Tableau1[[#This Row],[Date début]]</f>
        <v>0</v>
      </c>
      <c r="E188" s="136" t="e">
        <f>VLOOKUP(Tableau1[[#This Row],[Type]],LISTES!$A$2:$O$61,2,0)</f>
        <v>#N/A</v>
      </c>
      <c r="F188" s="136">
        <f>NETWORKDAYS.INTL(C188,D188,11,CALENDRIER!AF184:AF195)</f>
        <v>1</v>
      </c>
      <c r="G188" s="134"/>
      <c r="H188" s="137">
        <f>Tableau1[[#This Row],[Date début]]</f>
        <v>0</v>
      </c>
    </row>
    <row r="189" spans="1:8">
      <c r="A189" s="133" t="s">
        <v>181</v>
      </c>
      <c r="C189" s="134"/>
      <c r="D189" s="134">
        <f>Tableau1[[#This Row],[Date début]]</f>
        <v>0</v>
      </c>
      <c r="E189" s="136" t="e">
        <f>VLOOKUP(Tableau1[[#This Row],[Type]],LISTES!$A$2:$O$61,2,0)</f>
        <v>#N/A</v>
      </c>
      <c r="F189" s="136">
        <f>NETWORKDAYS.INTL(C189,D189,11,CALENDRIER!AF185:AF196)</f>
        <v>1</v>
      </c>
      <c r="G189" s="134"/>
      <c r="H189" s="137">
        <f>Tableau1[[#This Row],[Date début]]</f>
        <v>0</v>
      </c>
    </row>
    <row r="190" spans="1:8">
      <c r="A190" s="133" t="s">
        <v>181</v>
      </c>
      <c r="C190" s="134"/>
      <c r="D190" s="134">
        <f>Tableau1[[#This Row],[Date début]]</f>
        <v>0</v>
      </c>
      <c r="E190" s="136" t="e">
        <f>VLOOKUP(Tableau1[[#This Row],[Type]],LISTES!$A$2:$O$61,2,0)</f>
        <v>#N/A</v>
      </c>
      <c r="F190" s="136">
        <f>NETWORKDAYS.INTL(C190,D190,11,CALENDRIER!AF186:AF197)</f>
        <v>1</v>
      </c>
      <c r="G190" s="134"/>
      <c r="H190" s="137">
        <f>Tableau1[[#This Row],[Date début]]</f>
        <v>0</v>
      </c>
    </row>
    <row r="191" spans="1:8">
      <c r="A191" s="133" t="s">
        <v>181</v>
      </c>
      <c r="C191" s="134"/>
      <c r="D191" s="134">
        <f>Tableau1[[#This Row],[Date début]]</f>
        <v>0</v>
      </c>
      <c r="E191" s="136" t="e">
        <f>VLOOKUP(Tableau1[[#This Row],[Type]],LISTES!$A$2:$O$61,2,0)</f>
        <v>#N/A</v>
      </c>
      <c r="F191" s="136">
        <f>NETWORKDAYS.INTL(C191,D191,11,CALENDRIER!AF187:AF198)</f>
        <v>1</v>
      </c>
      <c r="G191" s="134"/>
      <c r="H191" s="137">
        <f>Tableau1[[#This Row],[Date début]]</f>
        <v>0</v>
      </c>
    </row>
    <row r="192" spans="1:8">
      <c r="A192" s="133" t="s">
        <v>181</v>
      </c>
      <c r="C192" s="134"/>
      <c r="D192" s="134">
        <f>Tableau1[[#This Row],[Date début]]</f>
        <v>0</v>
      </c>
      <c r="E192" s="136" t="e">
        <f>VLOOKUP(Tableau1[[#This Row],[Type]],LISTES!$A$2:$O$61,2,0)</f>
        <v>#N/A</v>
      </c>
      <c r="F192" s="136">
        <f>NETWORKDAYS.INTL(C192,D192,11,CALENDRIER!AF188:AF199)</f>
        <v>1</v>
      </c>
      <c r="G192" s="134"/>
      <c r="H192" s="137">
        <f>Tableau1[[#This Row],[Date début]]</f>
        <v>0</v>
      </c>
    </row>
    <row r="193" spans="1:8">
      <c r="A193" s="133" t="s">
        <v>181</v>
      </c>
      <c r="C193" s="134"/>
      <c r="D193" s="134">
        <f>Tableau1[[#This Row],[Date début]]</f>
        <v>0</v>
      </c>
      <c r="E193" s="136" t="e">
        <f>VLOOKUP(Tableau1[[#This Row],[Type]],LISTES!$A$2:$O$61,2,0)</f>
        <v>#N/A</v>
      </c>
      <c r="F193" s="136">
        <f>NETWORKDAYS.INTL(C193,D193,11,CALENDRIER!AF189:AF200)</f>
        <v>1</v>
      </c>
      <c r="G193" s="134"/>
      <c r="H193" s="137">
        <f>Tableau1[[#This Row],[Date début]]</f>
        <v>0</v>
      </c>
    </row>
    <row r="194" spans="1:8">
      <c r="A194" s="133" t="s">
        <v>181</v>
      </c>
      <c r="C194" s="134"/>
      <c r="D194" s="134">
        <f>Tableau1[[#This Row],[Date début]]</f>
        <v>0</v>
      </c>
      <c r="E194" s="136" t="e">
        <f>VLOOKUP(Tableau1[[#This Row],[Type]],LISTES!$A$2:$O$61,2,0)</f>
        <v>#N/A</v>
      </c>
      <c r="F194" s="136">
        <f>NETWORKDAYS.INTL(C194,D194,11,CALENDRIER!AF190:AF201)</f>
        <v>1</v>
      </c>
      <c r="G194" s="134"/>
      <c r="H194" s="137">
        <f>Tableau1[[#This Row],[Date début]]</f>
        <v>0</v>
      </c>
    </row>
    <row r="195" spans="1:8">
      <c r="A195" s="133" t="s">
        <v>181</v>
      </c>
      <c r="C195" s="134"/>
      <c r="D195" s="134">
        <f>Tableau1[[#This Row],[Date début]]</f>
        <v>0</v>
      </c>
      <c r="E195" s="136" t="e">
        <f>VLOOKUP(Tableau1[[#This Row],[Type]],LISTES!$A$2:$O$61,2,0)</f>
        <v>#N/A</v>
      </c>
      <c r="F195" s="136">
        <f>NETWORKDAYS.INTL(C195,D195,11,CALENDRIER!AF191:AF202)</f>
        <v>1</v>
      </c>
      <c r="G195" s="134"/>
      <c r="H195" s="137">
        <f>Tableau1[[#This Row],[Date début]]</f>
        <v>0</v>
      </c>
    </row>
    <row r="196" spans="1:8">
      <c r="A196" s="133" t="s">
        <v>181</v>
      </c>
      <c r="C196" s="134"/>
      <c r="D196" s="134">
        <f>Tableau1[[#This Row],[Date début]]</f>
        <v>0</v>
      </c>
      <c r="E196" s="136" t="e">
        <f>VLOOKUP(Tableau1[[#This Row],[Type]],LISTES!$A$2:$O$61,2,0)</f>
        <v>#N/A</v>
      </c>
      <c r="F196" s="136">
        <f>NETWORKDAYS.INTL(C196,D196,11,CALENDRIER!AF192:AF203)</f>
        <v>1</v>
      </c>
      <c r="G196" s="134"/>
      <c r="H196" s="137">
        <f>Tableau1[[#This Row],[Date début]]</f>
        <v>0</v>
      </c>
    </row>
    <row r="197" spans="1:8">
      <c r="A197" s="133" t="s">
        <v>181</v>
      </c>
      <c r="C197" s="134"/>
      <c r="D197" s="134">
        <f>Tableau1[[#This Row],[Date début]]</f>
        <v>0</v>
      </c>
      <c r="E197" s="136" t="e">
        <f>VLOOKUP(Tableau1[[#This Row],[Type]],LISTES!$A$2:$O$61,2,0)</f>
        <v>#N/A</v>
      </c>
      <c r="F197" s="136">
        <f>NETWORKDAYS.INTL(C197,D197,11,CALENDRIER!AF193:AF204)</f>
        <v>1</v>
      </c>
      <c r="G197" s="134"/>
      <c r="H197" s="137">
        <f>Tableau1[[#This Row],[Date début]]</f>
        <v>0</v>
      </c>
    </row>
    <row r="198" spans="1:8">
      <c r="A198" s="133" t="s">
        <v>181</v>
      </c>
      <c r="C198" s="134"/>
      <c r="D198" s="134">
        <f>Tableau1[[#This Row],[Date début]]</f>
        <v>0</v>
      </c>
      <c r="E198" s="136" t="e">
        <f>VLOOKUP(Tableau1[[#This Row],[Type]],LISTES!$A$2:$O$61,2,0)</f>
        <v>#N/A</v>
      </c>
      <c r="F198" s="136">
        <f>NETWORKDAYS.INTL(C198,D198,11,CALENDRIER!AF194:AF205)</f>
        <v>1</v>
      </c>
      <c r="G198" s="134"/>
      <c r="H198" s="137">
        <f>Tableau1[[#This Row],[Date début]]</f>
        <v>0</v>
      </c>
    </row>
    <row r="199" spans="1:8">
      <c r="A199" s="133" t="s">
        <v>181</v>
      </c>
      <c r="C199" s="134"/>
      <c r="D199" s="134">
        <f>Tableau1[[#This Row],[Date début]]</f>
        <v>0</v>
      </c>
      <c r="E199" s="136" t="e">
        <f>VLOOKUP(Tableau1[[#This Row],[Type]],LISTES!$A$2:$O$61,2,0)</f>
        <v>#N/A</v>
      </c>
      <c r="F199" s="136">
        <f>NETWORKDAYS.INTL(C199,D199,11,CALENDRIER!AF195:AF206)</f>
        <v>1</v>
      </c>
      <c r="G199" s="134"/>
      <c r="H199" s="137">
        <f>Tableau1[[#This Row],[Date début]]</f>
        <v>0</v>
      </c>
    </row>
    <row r="200" spans="1:8">
      <c r="A200" s="133" t="s">
        <v>181</v>
      </c>
      <c r="C200" s="134"/>
      <c r="D200" s="134">
        <f>Tableau1[[#This Row],[Date début]]</f>
        <v>0</v>
      </c>
      <c r="E200" s="136" t="e">
        <f>VLOOKUP(Tableau1[[#This Row],[Type]],LISTES!$A$2:$O$61,2,0)</f>
        <v>#N/A</v>
      </c>
      <c r="F200" s="136">
        <f>NETWORKDAYS.INTL(C200,D200,11,CALENDRIER!AF196:AF207)</f>
        <v>1</v>
      </c>
      <c r="G200" s="134"/>
      <c r="H200" s="137">
        <f>Tableau1[[#This Row],[Date début]]</f>
        <v>0</v>
      </c>
    </row>
    <row r="201" spans="1:8">
      <c r="A201" s="133" t="s">
        <v>181</v>
      </c>
      <c r="C201" s="134"/>
      <c r="D201" s="134">
        <f>Tableau1[[#This Row],[Date début]]</f>
        <v>0</v>
      </c>
      <c r="E201" s="136" t="e">
        <f>VLOOKUP(Tableau1[[#This Row],[Type]],LISTES!$A$2:$O$61,2,0)</f>
        <v>#N/A</v>
      </c>
      <c r="F201" s="136">
        <f>NETWORKDAYS.INTL(C201,D201,11,CALENDRIER!AF197:AF208)</f>
        <v>1</v>
      </c>
      <c r="G201" s="134"/>
      <c r="H201" s="137">
        <f>Tableau1[[#This Row],[Date début]]</f>
        <v>0</v>
      </c>
    </row>
    <row r="202" spans="1:8">
      <c r="A202" s="133" t="s">
        <v>181</v>
      </c>
      <c r="C202" s="134"/>
      <c r="D202" s="134">
        <f>Tableau1[[#This Row],[Date début]]</f>
        <v>0</v>
      </c>
      <c r="E202" s="136" t="e">
        <f>VLOOKUP(Tableau1[[#This Row],[Type]],LISTES!$A$2:$O$61,2,0)</f>
        <v>#N/A</v>
      </c>
      <c r="F202" s="136">
        <f>NETWORKDAYS.INTL(C202,D202,11,CALENDRIER!AF198:AF209)</f>
        <v>1</v>
      </c>
      <c r="G202" s="134"/>
      <c r="H202" s="137">
        <f>Tableau1[[#This Row],[Date début]]</f>
        <v>0</v>
      </c>
    </row>
    <row r="203" spans="1:8">
      <c r="A203" s="133" t="s">
        <v>181</v>
      </c>
      <c r="C203" s="134"/>
      <c r="D203" s="134">
        <f>Tableau1[[#This Row],[Date début]]</f>
        <v>0</v>
      </c>
      <c r="E203" s="136" t="e">
        <f>VLOOKUP(Tableau1[[#This Row],[Type]],LISTES!$A$2:$O$61,2,0)</f>
        <v>#N/A</v>
      </c>
      <c r="F203" s="136">
        <f>NETWORKDAYS.INTL(C203,D203,11,CALENDRIER!AF199:AF210)</f>
        <v>1</v>
      </c>
      <c r="G203" s="134"/>
      <c r="H203" s="137">
        <f>Tableau1[[#This Row],[Date début]]</f>
        <v>0</v>
      </c>
    </row>
    <row r="204" spans="1:8">
      <c r="A204" s="133" t="s">
        <v>181</v>
      </c>
      <c r="C204" s="134"/>
      <c r="D204" s="134">
        <f>Tableau1[[#This Row],[Date début]]</f>
        <v>0</v>
      </c>
      <c r="E204" s="136" t="e">
        <f>VLOOKUP(Tableau1[[#This Row],[Type]],LISTES!$A$2:$O$61,2,0)</f>
        <v>#N/A</v>
      </c>
      <c r="F204" s="136">
        <f>NETWORKDAYS.INTL(C204,D204,11,CALENDRIER!AF200:AF211)</f>
        <v>1</v>
      </c>
      <c r="G204" s="134"/>
      <c r="H204" s="137">
        <f>Tableau1[[#This Row],[Date début]]</f>
        <v>0</v>
      </c>
    </row>
    <row r="205" spans="1:8">
      <c r="A205" s="133" t="s">
        <v>181</v>
      </c>
      <c r="C205" s="134"/>
      <c r="D205" s="134">
        <f>Tableau1[[#This Row],[Date début]]</f>
        <v>0</v>
      </c>
      <c r="E205" s="136" t="e">
        <f>VLOOKUP(Tableau1[[#This Row],[Type]],LISTES!$A$2:$O$61,2,0)</f>
        <v>#N/A</v>
      </c>
      <c r="F205" s="136">
        <f>NETWORKDAYS.INTL(C205,D205,11,CALENDRIER!AF201:AF212)</f>
        <v>1</v>
      </c>
      <c r="G205" s="134"/>
      <c r="H205" s="137">
        <f>Tableau1[[#This Row],[Date début]]</f>
        <v>0</v>
      </c>
    </row>
    <row r="206" spans="1:8">
      <c r="A206" s="133" t="s">
        <v>181</v>
      </c>
      <c r="C206" s="134"/>
      <c r="D206" s="134">
        <f>Tableau1[[#This Row],[Date début]]</f>
        <v>0</v>
      </c>
      <c r="E206" s="136" t="e">
        <f>VLOOKUP(Tableau1[[#This Row],[Type]],LISTES!$A$2:$O$61,2,0)</f>
        <v>#N/A</v>
      </c>
      <c r="F206" s="136">
        <f>NETWORKDAYS.INTL(C206,D206,11,CALENDRIER!AF202:AF213)</f>
        <v>1</v>
      </c>
      <c r="G206" s="134"/>
      <c r="H206" s="137">
        <f>Tableau1[[#This Row],[Date début]]</f>
        <v>0</v>
      </c>
    </row>
    <row r="207" spans="1:8">
      <c r="A207" s="133" t="s">
        <v>181</v>
      </c>
      <c r="C207" s="134"/>
      <c r="D207" s="134">
        <f>Tableau1[[#This Row],[Date début]]</f>
        <v>0</v>
      </c>
      <c r="E207" s="136" t="e">
        <f>VLOOKUP(Tableau1[[#This Row],[Type]],LISTES!$A$2:$O$61,2,0)</f>
        <v>#N/A</v>
      </c>
      <c r="F207" s="136">
        <f>NETWORKDAYS.INTL(C207,D207,11,CALENDRIER!AF203:AF214)</f>
        <v>1</v>
      </c>
      <c r="G207" s="134"/>
      <c r="H207" s="137">
        <f>Tableau1[[#This Row],[Date début]]</f>
        <v>0</v>
      </c>
    </row>
    <row r="208" spans="1:8">
      <c r="A208" s="133" t="s">
        <v>181</v>
      </c>
      <c r="C208" s="134"/>
      <c r="D208" s="134">
        <f>Tableau1[[#This Row],[Date début]]</f>
        <v>0</v>
      </c>
      <c r="E208" s="136" t="e">
        <f>VLOOKUP(Tableau1[[#This Row],[Type]],LISTES!$A$2:$O$61,2,0)</f>
        <v>#N/A</v>
      </c>
      <c r="F208" s="136">
        <f>NETWORKDAYS.INTL(C208,D208,11,CALENDRIER!AF204:AF215)</f>
        <v>1</v>
      </c>
      <c r="G208" s="134"/>
      <c r="H208" s="137">
        <f>Tableau1[[#This Row],[Date début]]</f>
        <v>0</v>
      </c>
    </row>
    <row r="209" spans="1:8">
      <c r="A209" s="133" t="s">
        <v>181</v>
      </c>
      <c r="C209" s="134"/>
      <c r="D209" s="134">
        <f>Tableau1[[#This Row],[Date début]]</f>
        <v>0</v>
      </c>
      <c r="E209" s="136" t="e">
        <f>VLOOKUP(Tableau1[[#This Row],[Type]],LISTES!$A$2:$O$61,2,0)</f>
        <v>#N/A</v>
      </c>
      <c r="F209" s="136">
        <f>NETWORKDAYS.INTL(C209,D209,11,CALENDRIER!AF205:AF216)</f>
        <v>1</v>
      </c>
      <c r="G209" s="134"/>
      <c r="H209" s="137">
        <f>Tableau1[[#This Row],[Date début]]</f>
        <v>0</v>
      </c>
    </row>
    <row r="210" spans="1:8">
      <c r="A210" s="133" t="s">
        <v>181</v>
      </c>
      <c r="C210" s="134"/>
      <c r="D210" s="134">
        <f>Tableau1[[#This Row],[Date début]]</f>
        <v>0</v>
      </c>
      <c r="E210" s="136" t="e">
        <f>VLOOKUP(Tableau1[[#This Row],[Type]],LISTES!$A$2:$O$61,2,0)</f>
        <v>#N/A</v>
      </c>
      <c r="F210" s="136">
        <f>NETWORKDAYS.INTL(C210,D210,11,CALENDRIER!AF206:AF217)</f>
        <v>1</v>
      </c>
      <c r="G210" s="134"/>
      <c r="H210" s="137">
        <f>Tableau1[[#This Row],[Date début]]</f>
        <v>0</v>
      </c>
    </row>
    <row r="211" spans="1:8">
      <c r="A211" s="133" t="s">
        <v>181</v>
      </c>
      <c r="C211" s="134"/>
      <c r="D211" s="134">
        <f>Tableau1[[#This Row],[Date début]]</f>
        <v>0</v>
      </c>
      <c r="E211" s="136" t="e">
        <f>VLOOKUP(Tableau1[[#This Row],[Type]],LISTES!$A$2:$O$61,2,0)</f>
        <v>#N/A</v>
      </c>
      <c r="F211" s="136">
        <f>NETWORKDAYS.INTL(C211,D211,11,CALENDRIER!AF207:AF218)</f>
        <v>1</v>
      </c>
      <c r="G211" s="134"/>
      <c r="H211" s="137">
        <f>Tableau1[[#This Row],[Date début]]</f>
        <v>0</v>
      </c>
    </row>
    <row r="212" spans="1:8">
      <c r="A212" s="133" t="s">
        <v>181</v>
      </c>
      <c r="C212" s="134"/>
      <c r="D212" s="134">
        <f>Tableau1[[#This Row],[Date début]]</f>
        <v>0</v>
      </c>
      <c r="E212" s="136" t="e">
        <f>VLOOKUP(Tableau1[[#This Row],[Type]],LISTES!$A$2:$O$61,2,0)</f>
        <v>#N/A</v>
      </c>
      <c r="F212" s="136">
        <f>NETWORKDAYS.INTL(C212,D212,11,CALENDRIER!AF208:AF219)</f>
        <v>1</v>
      </c>
      <c r="G212" s="134"/>
      <c r="H212" s="137">
        <f>Tableau1[[#This Row],[Date début]]</f>
        <v>0</v>
      </c>
    </row>
    <row r="213" spans="1:8">
      <c r="A213" s="133" t="s">
        <v>181</v>
      </c>
      <c r="C213" s="134"/>
      <c r="D213" s="134">
        <f>Tableau1[[#This Row],[Date début]]</f>
        <v>0</v>
      </c>
      <c r="E213" s="136" t="e">
        <f>VLOOKUP(Tableau1[[#This Row],[Type]],LISTES!$A$2:$O$61,2,0)</f>
        <v>#N/A</v>
      </c>
      <c r="F213" s="136">
        <f>NETWORKDAYS.INTL(C213,D213,11,CALENDRIER!AF209:AF220)</f>
        <v>1</v>
      </c>
      <c r="G213" s="134"/>
      <c r="H213" s="137">
        <f>Tableau1[[#This Row],[Date début]]</f>
        <v>0</v>
      </c>
    </row>
    <row r="214" spans="1:8">
      <c r="A214" s="133" t="s">
        <v>181</v>
      </c>
      <c r="C214" s="134"/>
      <c r="D214" s="134">
        <f>Tableau1[[#This Row],[Date début]]</f>
        <v>0</v>
      </c>
      <c r="E214" s="136" t="e">
        <f>VLOOKUP(Tableau1[[#This Row],[Type]],LISTES!$A$2:$O$61,2,0)</f>
        <v>#N/A</v>
      </c>
      <c r="F214" s="136">
        <f>NETWORKDAYS.INTL(C214,D214,11,CALENDRIER!AF210:AF221)</f>
        <v>1</v>
      </c>
      <c r="G214" s="134"/>
      <c r="H214" s="137">
        <f>Tableau1[[#This Row],[Date début]]</f>
        <v>0</v>
      </c>
    </row>
    <row r="215" spans="1:8">
      <c r="A215" s="133" t="s">
        <v>181</v>
      </c>
      <c r="C215" s="134"/>
      <c r="D215" s="134">
        <f>Tableau1[[#This Row],[Date début]]</f>
        <v>0</v>
      </c>
      <c r="E215" s="136" t="e">
        <f>VLOOKUP(Tableau1[[#This Row],[Type]],LISTES!$A$2:$O$61,2,0)</f>
        <v>#N/A</v>
      </c>
      <c r="F215" s="136">
        <f>NETWORKDAYS.INTL(C215,D215,11,CALENDRIER!AF211:AF222)</f>
        <v>1</v>
      </c>
      <c r="G215" s="134"/>
      <c r="H215" s="137">
        <f>Tableau1[[#This Row],[Date début]]</f>
        <v>0</v>
      </c>
    </row>
    <row r="216" spans="1:8">
      <c r="A216" s="133" t="s">
        <v>181</v>
      </c>
      <c r="C216" s="134"/>
      <c r="D216" s="134">
        <f>Tableau1[[#This Row],[Date début]]</f>
        <v>0</v>
      </c>
      <c r="E216" s="136" t="e">
        <f>VLOOKUP(Tableau1[[#This Row],[Type]],LISTES!$A$2:$O$61,2,0)</f>
        <v>#N/A</v>
      </c>
      <c r="F216" s="136">
        <f>NETWORKDAYS.INTL(C216,D216,11,CALENDRIER!AF212:AF223)</f>
        <v>1</v>
      </c>
      <c r="G216" s="134"/>
      <c r="H216" s="137">
        <f>Tableau1[[#This Row],[Date début]]</f>
        <v>0</v>
      </c>
    </row>
    <row r="217" spans="1:8">
      <c r="A217" s="133" t="s">
        <v>181</v>
      </c>
      <c r="C217" s="134"/>
      <c r="D217" s="134">
        <f>Tableau1[[#This Row],[Date début]]</f>
        <v>0</v>
      </c>
      <c r="E217" s="136" t="e">
        <f>VLOOKUP(Tableau1[[#This Row],[Type]],LISTES!$A$2:$O$61,2,0)</f>
        <v>#N/A</v>
      </c>
      <c r="F217" s="136">
        <f>NETWORKDAYS.INTL(C217,D217,11,CALENDRIER!AF213:AF224)</f>
        <v>1</v>
      </c>
      <c r="G217" s="134"/>
      <c r="H217" s="137">
        <f>Tableau1[[#This Row],[Date début]]</f>
        <v>0</v>
      </c>
    </row>
    <row r="218" spans="1:8">
      <c r="A218" s="133" t="s">
        <v>181</v>
      </c>
      <c r="C218" s="134"/>
      <c r="D218" s="134">
        <f>Tableau1[[#This Row],[Date début]]</f>
        <v>0</v>
      </c>
      <c r="E218" s="136" t="e">
        <f>VLOOKUP(Tableau1[[#This Row],[Type]],LISTES!$A$2:$O$61,2,0)</f>
        <v>#N/A</v>
      </c>
      <c r="F218" s="136">
        <f>NETWORKDAYS.INTL(C218,D218,11,CALENDRIER!AF214:AF225)</f>
        <v>1</v>
      </c>
      <c r="G218" s="134"/>
      <c r="H218" s="137">
        <f>Tableau1[[#This Row],[Date début]]</f>
        <v>0</v>
      </c>
    </row>
    <row r="219" spans="1:8">
      <c r="A219" s="133" t="s">
        <v>181</v>
      </c>
      <c r="C219" s="134"/>
      <c r="D219" s="134">
        <f>Tableau1[[#This Row],[Date début]]</f>
        <v>0</v>
      </c>
      <c r="E219" s="136" t="e">
        <f>VLOOKUP(Tableau1[[#This Row],[Type]],LISTES!$A$2:$O$61,2,0)</f>
        <v>#N/A</v>
      </c>
      <c r="F219" s="136">
        <f>NETWORKDAYS.INTL(C219,D219,11,CALENDRIER!AF215:AF226)</f>
        <v>1</v>
      </c>
      <c r="G219" s="134"/>
      <c r="H219" s="137">
        <f>Tableau1[[#This Row],[Date début]]</f>
        <v>0</v>
      </c>
    </row>
    <row r="220" spans="1:8">
      <c r="A220" s="133" t="s">
        <v>181</v>
      </c>
      <c r="C220" s="134"/>
      <c r="D220" s="134">
        <f>Tableau1[[#This Row],[Date début]]</f>
        <v>0</v>
      </c>
      <c r="E220" s="136" t="e">
        <f>VLOOKUP(Tableau1[[#This Row],[Type]],LISTES!$A$2:$O$61,2,0)</f>
        <v>#N/A</v>
      </c>
      <c r="F220" s="136">
        <f>NETWORKDAYS.INTL(C220,D220,11,CALENDRIER!AF216:AF227)</f>
        <v>1</v>
      </c>
      <c r="G220" s="134"/>
      <c r="H220" s="137">
        <f>Tableau1[[#This Row],[Date début]]</f>
        <v>0</v>
      </c>
    </row>
    <row r="221" spans="1:8">
      <c r="A221" s="133" t="s">
        <v>181</v>
      </c>
      <c r="C221" s="134"/>
      <c r="D221" s="134">
        <f>Tableau1[[#This Row],[Date début]]</f>
        <v>0</v>
      </c>
      <c r="E221" s="136" t="e">
        <f>VLOOKUP(Tableau1[[#This Row],[Type]],LISTES!$A$2:$O$61,2,0)</f>
        <v>#N/A</v>
      </c>
      <c r="F221" s="136">
        <f>NETWORKDAYS.INTL(C221,D221,11,CALENDRIER!AF217:AF228)</f>
        <v>1</v>
      </c>
      <c r="G221" s="134"/>
      <c r="H221" s="137">
        <f>Tableau1[[#This Row],[Date début]]</f>
        <v>0</v>
      </c>
    </row>
    <row r="222" spans="1:8">
      <c r="A222" s="133" t="s">
        <v>181</v>
      </c>
      <c r="C222" s="134"/>
      <c r="D222" s="134">
        <f>Tableau1[[#This Row],[Date début]]</f>
        <v>0</v>
      </c>
      <c r="E222" s="136" t="e">
        <f>VLOOKUP(Tableau1[[#This Row],[Type]],LISTES!$A$2:$O$61,2,0)</f>
        <v>#N/A</v>
      </c>
      <c r="F222" s="136">
        <f>NETWORKDAYS.INTL(C222,D222,11,CALENDRIER!AF218:AF229)</f>
        <v>1</v>
      </c>
      <c r="G222" s="134"/>
      <c r="H222" s="137">
        <f>Tableau1[[#This Row],[Date début]]</f>
        <v>0</v>
      </c>
    </row>
    <row r="223" spans="1:8">
      <c r="A223" s="133" t="s">
        <v>181</v>
      </c>
      <c r="C223" s="134"/>
      <c r="D223" s="134">
        <f>Tableau1[[#This Row],[Date début]]</f>
        <v>0</v>
      </c>
      <c r="E223" s="136" t="e">
        <f>VLOOKUP(Tableau1[[#This Row],[Type]],LISTES!$A$2:$O$61,2,0)</f>
        <v>#N/A</v>
      </c>
      <c r="F223" s="136">
        <f>NETWORKDAYS.INTL(C223,D223,11,CALENDRIER!AF219:AF230)</f>
        <v>1</v>
      </c>
      <c r="G223" s="134"/>
      <c r="H223" s="137">
        <f>Tableau1[[#This Row],[Date début]]</f>
        <v>0</v>
      </c>
    </row>
    <row r="224" spans="1:8">
      <c r="A224" s="133" t="s">
        <v>181</v>
      </c>
      <c r="C224" s="134"/>
      <c r="D224" s="134">
        <f>Tableau1[[#This Row],[Date début]]</f>
        <v>0</v>
      </c>
      <c r="E224" s="136" t="e">
        <f>VLOOKUP(Tableau1[[#This Row],[Type]],LISTES!$A$2:$O$61,2,0)</f>
        <v>#N/A</v>
      </c>
      <c r="F224" s="136">
        <f>NETWORKDAYS.INTL(C224,D224,11,CALENDRIER!AF220:AF231)</f>
        <v>1</v>
      </c>
      <c r="G224" s="134"/>
      <c r="H224" s="137">
        <f>Tableau1[[#This Row],[Date début]]</f>
        <v>0</v>
      </c>
    </row>
    <row r="225" spans="1:8">
      <c r="A225" s="133" t="s">
        <v>181</v>
      </c>
      <c r="C225" s="134"/>
      <c r="D225" s="134">
        <f>Tableau1[[#This Row],[Date début]]</f>
        <v>0</v>
      </c>
      <c r="E225" s="136" t="e">
        <f>VLOOKUP(Tableau1[[#This Row],[Type]],LISTES!$A$2:$O$61,2,0)</f>
        <v>#N/A</v>
      </c>
      <c r="F225" s="136">
        <f>NETWORKDAYS.INTL(C225,D225,11,CALENDRIER!AF221:AF232)</f>
        <v>1</v>
      </c>
      <c r="G225" s="134"/>
      <c r="H225" s="137">
        <f>Tableau1[[#This Row],[Date début]]</f>
        <v>0</v>
      </c>
    </row>
    <row r="226" spans="1:8">
      <c r="A226" s="133" t="s">
        <v>181</v>
      </c>
      <c r="C226" s="134"/>
      <c r="D226" s="134">
        <f>Tableau1[[#This Row],[Date début]]</f>
        <v>0</v>
      </c>
      <c r="E226" s="136" t="e">
        <f>VLOOKUP(Tableau1[[#This Row],[Type]],LISTES!$A$2:$O$61,2,0)</f>
        <v>#N/A</v>
      </c>
      <c r="F226" s="136">
        <f>NETWORKDAYS.INTL(C226,D226,11,CALENDRIER!AF222:AF233)</f>
        <v>1</v>
      </c>
      <c r="G226" s="134"/>
      <c r="H226" s="137">
        <f>Tableau1[[#This Row],[Date début]]</f>
        <v>0</v>
      </c>
    </row>
    <row r="227" spans="1:8">
      <c r="A227" s="133" t="s">
        <v>181</v>
      </c>
      <c r="C227" s="134"/>
      <c r="D227" s="134">
        <f>Tableau1[[#This Row],[Date début]]</f>
        <v>0</v>
      </c>
      <c r="E227" s="136" t="e">
        <f>VLOOKUP(Tableau1[[#This Row],[Type]],LISTES!$A$2:$O$61,2,0)</f>
        <v>#N/A</v>
      </c>
      <c r="F227" s="136">
        <f>NETWORKDAYS.INTL(C227,D227,11,CALENDRIER!AF223:AF234)</f>
        <v>1</v>
      </c>
      <c r="G227" s="134"/>
      <c r="H227" s="137">
        <f>Tableau1[[#This Row],[Date début]]</f>
        <v>0</v>
      </c>
    </row>
    <row r="228" spans="1:8">
      <c r="A228" s="133" t="s">
        <v>181</v>
      </c>
      <c r="C228" s="134"/>
      <c r="D228" s="134">
        <f>Tableau1[[#This Row],[Date début]]</f>
        <v>0</v>
      </c>
      <c r="E228" s="136" t="e">
        <f>VLOOKUP(Tableau1[[#This Row],[Type]],LISTES!$A$2:$O$61,2,0)</f>
        <v>#N/A</v>
      </c>
      <c r="F228" s="136">
        <f>NETWORKDAYS.INTL(C228,D228,11,CALENDRIER!AF224:AF235)</f>
        <v>1</v>
      </c>
      <c r="G228" s="134"/>
      <c r="H228" s="137">
        <f>Tableau1[[#This Row],[Date début]]</f>
        <v>0</v>
      </c>
    </row>
    <row r="229" spans="1:8">
      <c r="A229" s="133" t="s">
        <v>181</v>
      </c>
      <c r="C229" s="134"/>
      <c r="D229" s="134">
        <f>Tableau1[[#This Row],[Date début]]</f>
        <v>0</v>
      </c>
      <c r="E229" s="136" t="e">
        <f>VLOOKUP(Tableau1[[#This Row],[Type]],LISTES!$A$2:$O$61,2,0)</f>
        <v>#N/A</v>
      </c>
      <c r="F229" s="136">
        <f>NETWORKDAYS.INTL(C229,D229,11,CALENDRIER!AF225:AF236)</f>
        <v>1</v>
      </c>
      <c r="G229" s="134"/>
      <c r="H229" s="137">
        <f>Tableau1[[#This Row],[Date début]]</f>
        <v>0</v>
      </c>
    </row>
    <row r="230" spans="1:8">
      <c r="A230" s="133" t="s">
        <v>181</v>
      </c>
      <c r="C230" s="134"/>
      <c r="D230" s="134">
        <f>Tableau1[[#This Row],[Date début]]</f>
        <v>0</v>
      </c>
      <c r="E230" s="136" t="e">
        <f>VLOOKUP(Tableau1[[#This Row],[Type]],LISTES!$A$2:$O$61,2,0)</f>
        <v>#N/A</v>
      </c>
      <c r="F230" s="136">
        <f>NETWORKDAYS.INTL(C230,D230,11,CALENDRIER!AF226:AF237)</f>
        <v>1</v>
      </c>
      <c r="G230" s="134"/>
      <c r="H230" s="137">
        <f>Tableau1[[#This Row],[Date début]]</f>
        <v>0</v>
      </c>
    </row>
    <row r="231" spans="1:8">
      <c r="A231" s="133" t="s">
        <v>181</v>
      </c>
      <c r="C231" s="134"/>
      <c r="D231" s="134">
        <f>Tableau1[[#This Row],[Date début]]</f>
        <v>0</v>
      </c>
      <c r="E231" s="136" t="e">
        <f>VLOOKUP(Tableau1[[#This Row],[Type]],LISTES!$A$2:$O$61,2,0)</f>
        <v>#N/A</v>
      </c>
      <c r="F231" s="136">
        <f>NETWORKDAYS.INTL(C231,D231,11,CALENDRIER!AF227:AF238)</f>
        <v>1</v>
      </c>
      <c r="G231" s="134"/>
      <c r="H231" s="137">
        <f>Tableau1[[#This Row],[Date début]]</f>
        <v>0</v>
      </c>
    </row>
    <row r="232" spans="1:8">
      <c r="A232" s="133" t="s">
        <v>181</v>
      </c>
      <c r="C232" s="134"/>
      <c r="D232" s="134">
        <f>Tableau1[[#This Row],[Date début]]</f>
        <v>0</v>
      </c>
      <c r="E232" s="136" t="e">
        <f>VLOOKUP(Tableau1[[#This Row],[Type]],LISTES!$A$2:$O$61,2,0)</f>
        <v>#N/A</v>
      </c>
      <c r="F232" s="136">
        <f>NETWORKDAYS.INTL(C232,D232,11,CALENDRIER!AF228:AF239)</f>
        <v>1</v>
      </c>
      <c r="G232" s="134"/>
      <c r="H232" s="137">
        <f>Tableau1[[#This Row],[Date début]]</f>
        <v>0</v>
      </c>
    </row>
    <row r="233" spans="1:8">
      <c r="A233" s="133" t="s">
        <v>181</v>
      </c>
      <c r="C233" s="134"/>
      <c r="D233" s="134">
        <f>Tableau1[[#This Row],[Date début]]</f>
        <v>0</v>
      </c>
      <c r="E233" s="136" t="e">
        <f>VLOOKUP(Tableau1[[#This Row],[Type]],LISTES!$A$2:$O$61,2,0)</f>
        <v>#N/A</v>
      </c>
      <c r="F233" s="136">
        <f>NETWORKDAYS.INTL(C233,D233,11,CALENDRIER!AF229:AF240)</f>
        <v>1</v>
      </c>
      <c r="G233" s="134"/>
      <c r="H233" s="137">
        <f>Tableau1[[#This Row],[Date début]]</f>
        <v>0</v>
      </c>
    </row>
    <row r="234" spans="1:8">
      <c r="A234" s="133" t="s">
        <v>181</v>
      </c>
      <c r="C234" s="134"/>
      <c r="D234" s="134">
        <f>Tableau1[[#This Row],[Date début]]</f>
        <v>0</v>
      </c>
      <c r="E234" s="136" t="e">
        <f>VLOOKUP(Tableau1[[#This Row],[Type]],LISTES!$A$2:$O$61,2,0)</f>
        <v>#N/A</v>
      </c>
      <c r="F234" s="136">
        <f>NETWORKDAYS.INTL(C234,D234,11,CALENDRIER!AF230:AF241)</f>
        <v>1</v>
      </c>
      <c r="G234" s="134"/>
      <c r="H234" s="137">
        <f>Tableau1[[#This Row],[Date début]]</f>
        <v>0</v>
      </c>
    </row>
    <row r="235" spans="1:8">
      <c r="A235" s="133" t="s">
        <v>181</v>
      </c>
      <c r="C235" s="134"/>
      <c r="D235" s="134">
        <f>Tableau1[[#This Row],[Date début]]</f>
        <v>0</v>
      </c>
      <c r="E235" s="136" t="e">
        <f>VLOOKUP(Tableau1[[#This Row],[Type]],LISTES!$A$2:$O$61,2,0)</f>
        <v>#N/A</v>
      </c>
      <c r="F235" s="136">
        <f>NETWORKDAYS.INTL(C235,D235,11,CALENDRIER!AF231:AF242)</f>
        <v>1</v>
      </c>
      <c r="G235" s="134"/>
      <c r="H235" s="137">
        <f>Tableau1[[#This Row],[Date début]]</f>
        <v>0</v>
      </c>
    </row>
    <row r="236" spans="1:8">
      <c r="A236" s="133" t="s">
        <v>181</v>
      </c>
      <c r="C236" s="134"/>
      <c r="D236" s="134">
        <f>Tableau1[[#This Row],[Date début]]</f>
        <v>0</v>
      </c>
      <c r="E236" s="136" t="e">
        <f>VLOOKUP(Tableau1[[#This Row],[Type]],LISTES!$A$2:$O$61,2,0)</f>
        <v>#N/A</v>
      </c>
      <c r="F236" s="136">
        <f>NETWORKDAYS.INTL(C236,D236,11,CALENDRIER!AF232:AF243)</f>
        <v>1</v>
      </c>
      <c r="G236" s="134"/>
      <c r="H236" s="137">
        <f>Tableau1[[#This Row],[Date début]]</f>
        <v>0</v>
      </c>
    </row>
    <row r="237" spans="1:8">
      <c r="A237" s="133" t="s">
        <v>181</v>
      </c>
      <c r="C237" s="134"/>
      <c r="D237" s="134">
        <f>Tableau1[[#This Row],[Date début]]</f>
        <v>0</v>
      </c>
      <c r="E237" s="136" t="e">
        <f>VLOOKUP(Tableau1[[#This Row],[Type]],LISTES!$A$2:$O$61,2,0)</f>
        <v>#N/A</v>
      </c>
      <c r="F237" s="136">
        <f>NETWORKDAYS.INTL(C237,D237,11,CALENDRIER!AF233:AF244)</f>
        <v>1</v>
      </c>
      <c r="G237" s="134"/>
      <c r="H237" s="137">
        <f>Tableau1[[#This Row],[Date début]]</f>
        <v>0</v>
      </c>
    </row>
    <row r="238" spans="1:8">
      <c r="A238" s="133" t="s">
        <v>181</v>
      </c>
      <c r="C238" s="134"/>
      <c r="D238" s="134">
        <f>Tableau1[[#This Row],[Date début]]</f>
        <v>0</v>
      </c>
      <c r="E238" s="136" t="e">
        <f>VLOOKUP(Tableau1[[#This Row],[Type]],LISTES!$A$2:$O$61,2,0)</f>
        <v>#N/A</v>
      </c>
      <c r="F238" s="136">
        <f>NETWORKDAYS.INTL(C238,D238,11,CALENDRIER!AF234:AF245)</f>
        <v>1</v>
      </c>
      <c r="G238" s="134"/>
      <c r="H238" s="137">
        <f>Tableau1[[#This Row],[Date début]]</f>
        <v>0</v>
      </c>
    </row>
    <row r="239" spans="1:8">
      <c r="A239" s="133" t="s">
        <v>181</v>
      </c>
      <c r="C239" s="134"/>
      <c r="D239" s="134">
        <f>Tableau1[[#This Row],[Date début]]</f>
        <v>0</v>
      </c>
      <c r="E239" s="136" t="e">
        <f>VLOOKUP(Tableau1[[#This Row],[Type]],LISTES!$A$2:$O$61,2,0)</f>
        <v>#N/A</v>
      </c>
      <c r="F239" s="136">
        <f>NETWORKDAYS.INTL(C239,D239,11,CALENDRIER!AF235:AF246)</f>
        <v>1</v>
      </c>
      <c r="G239" s="134"/>
      <c r="H239" s="137">
        <f>Tableau1[[#This Row],[Date début]]</f>
        <v>0</v>
      </c>
    </row>
    <row r="240" spans="1:8">
      <c r="A240" s="133" t="s">
        <v>181</v>
      </c>
      <c r="C240" s="134"/>
      <c r="D240" s="134">
        <f>Tableau1[[#This Row],[Date début]]</f>
        <v>0</v>
      </c>
      <c r="E240" s="136" t="e">
        <f>VLOOKUP(Tableau1[[#This Row],[Type]],LISTES!$A$2:$O$61,2,0)</f>
        <v>#N/A</v>
      </c>
      <c r="F240" s="136">
        <f>NETWORKDAYS.INTL(C240,D240,11,CALENDRIER!AF236:AF247)</f>
        <v>1</v>
      </c>
      <c r="G240" s="134"/>
      <c r="H240" s="137">
        <f>Tableau1[[#This Row],[Date début]]</f>
        <v>0</v>
      </c>
    </row>
    <row r="241" spans="1:8">
      <c r="A241" s="133" t="s">
        <v>181</v>
      </c>
      <c r="C241" s="134"/>
      <c r="D241" s="134">
        <f>Tableau1[[#This Row],[Date début]]</f>
        <v>0</v>
      </c>
      <c r="E241" s="136" t="e">
        <f>VLOOKUP(Tableau1[[#This Row],[Type]],LISTES!$A$2:$O$61,2,0)</f>
        <v>#N/A</v>
      </c>
      <c r="F241" s="136">
        <f>NETWORKDAYS.INTL(C241,D241,11,CALENDRIER!AF237:AF248)</f>
        <v>1</v>
      </c>
      <c r="G241" s="134"/>
      <c r="H241" s="137">
        <f>Tableau1[[#This Row],[Date début]]</f>
        <v>0</v>
      </c>
    </row>
    <row r="242" spans="1:8">
      <c r="A242" s="133" t="s">
        <v>181</v>
      </c>
      <c r="C242" s="134"/>
      <c r="D242" s="134">
        <f>Tableau1[[#This Row],[Date début]]</f>
        <v>0</v>
      </c>
      <c r="E242" s="136" t="e">
        <f>VLOOKUP(Tableau1[[#This Row],[Type]],LISTES!$A$2:$O$61,2,0)</f>
        <v>#N/A</v>
      </c>
      <c r="F242" s="136">
        <f>NETWORKDAYS.INTL(C242,D242,11,CALENDRIER!AF238:AF249)</f>
        <v>1</v>
      </c>
      <c r="G242" s="134"/>
      <c r="H242" s="137">
        <f>Tableau1[[#This Row],[Date début]]</f>
        <v>0</v>
      </c>
    </row>
    <row r="243" spans="1:8">
      <c r="A243" s="133" t="s">
        <v>181</v>
      </c>
      <c r="C243" s="134"/>
      <c r="D243" s="134">
        <f>Tableau1[[#This Row],[Date début]]</f>
        <v>0</v>
      </c>
      <c r="E243" s="136" t="e">
        <f>VLOOKUP(Tableau1[[#This Row],[Type]],LISTES!$A$2:$O$61,2,0)</f>
        <v>#N/A</v>
      </c>
      <c r="F243" s="136">
        <f>NETWORKDAYS.INTL(C243,D243,11,CALENDRIER!AF239:AF250)</f>
        <v>1</v>
      </c>
      <c r="G243" s="134"/>
      <c r="H243" s="137">
        <f>Tableau1[[#This Row],[Date début]]</f>
        <v>0</v>
      </c>
    </row>
    <row r="244" spans="1:8">
      <c r="A244" s="133" t="s">
        <v>181</v>
      </c>
      <c r="C244" s="134"/>
      <c r="D244" s="134">
        <f>Tableau1[[#This Row],[Date début]]</f>
        <v>0</v>
      </c>
      <c r="E244" s="136" t="e">
        <f>VLOOKUP(Tableau1[[#This Row],[Type]],LISTES!$A$2:$O$61,2,0)</f>
        <v>#N/A</v>
      </c>
      <c r="F244" s="136">
        <f>NETWORKDAYS.INTL(C244,D244,11,CALENDRIER!AF240:AF251)</f>
        <v>1</v>
      </c>
      <c r="G244" s="134"/>
      <c r="H244" s="137">
        <f>Tableau1[[#This Row],[Date début]]</f>
        <v>0</v>
      </c>
    </row>
    <row r="245" spans="1:8">
      <c r="A245" s="133" t="s">
        <v>181</v>
      </c>
      <c r="C245" s="134"/>
      <c r="D245" s="134">
        <f>Tableau1[[#This Row],[Date début]]</f>
        <v>0</v>
      </c>
      <c r="E245" s="136" t="e">
        <f>VLOOKUP(Tableau1[[#This Row],[Type]],LISTES!$A$2:$O$61,2,0)</f>
        <v>#N/A</v>
      </c>
      <c r="F245" s="136">
        <f>NETWORKDAYS.INTL(C245,D245,11,CALENDRIER!AF241:AF252)</f>
        <v>1</v>
      </c>
      <c r="G245" s="134"/>
      <c r="H245" s="137">
        <f>Tableau1[[#This Row],[Date début]]</f>
        <v>0</v>
      </c>
    </row>
    <row r="246" spans="1:8">
      <c r="A246" s="133" t="s">
        <v>181</v>
      </c>
      <c r="C246" s="134"/>
      <c r="D246" s="134">
        <f>Tableau1[[#This Row],[Date début]]</f>
        <v>0</v>
      </c>
      <c r="E246" s="136" t="e">
        <f>VLOOKUP(Tableau1[[#This Row],[Type]],LISTES!$A$2:$O$61,2,0)</f>
        <v>#N/A</v>
      </c>
      <c r="F246" s="136">
        <f>NETWORKDAYS.INTL(C246,D246,11,CALENDRIER!AF242:AF253)</f>
        <v>1</v>
      </c>
      <c r="G246" s="134"/>
      <c r="H246" s="137">
        <f>Tableau1[[#This Row],[Date début]]</f>
        <v>0</v>
      </c>
    </row>
    <row r="247" spans="1:8">
      <c r="A247" s="133" t="s">
        <v>181</v>
      </c>
      <c r="C247" s="134"/>
      <c r="D247" s="134">
        <f>Tableau1[[#This Row],[Date début]]</f>
        <v>0</v>
      </c>
      <c r="E247" s="136" t="e">
        <f>VLOOKUP(Tableau1[[#This Row],[Type]],LISTES!$A$2:$O$61,2,0)</f>
        <v>#N/A</v>
      </c>
      <c r="F247" s="136">
        <f>NETWORKDAYS.INTL(C247,D247,11,CALENDRIER!AF243:AF254)</f>
        <v>1</v>
      </c>
      <c r="G247" s="134"/>
      <c r="H247" s="137">
        <f>Tableau1[[#This Row],[Date début]]</f>
        <v>0</v>
      </c>
    </row>
    <row r="248" spans="1:8">
      <c r="A248" s="133" t="s">
        <v>181</v>
      </c>
      <c r="C248" s="134"/>
      <c r="D248" s="134">
        <f>Tableau1[[#This Row],[Date début]]</f>
        <v>0</v>
      </c>
      <c r="E248" s="136" t="e">
        <f>VLOOKUP(Tableau1[[#This Row],[Type]],LISTES!$A$2:$O$61,2,0)</f>
        <v>#N/A</v>
      </c>
      <c r="F248" s="136">
        <f>NETWORKDAYS.INTL(C248,D248,11,CALENDRIER!AF244:AF255)</f>
        <v>1</v>
      </c>
      <c r="G248" s="134"/>
      <c r="H248" s="137">
        <f>Tableau1[[#This Row],[Date début]]</f>
        <v>0</v>
      </c>
    </row>
    <row r="249" spans="1:8">
      <c r="A249" s="133" t="s">
        <v>181</v>
      </c>
      <c r="C249" s="134"/>
      <c r="D249" s="134">
        <f>Tableau1[[#This Row],[Date début]]</f>
        <v>0</v>
      </c>
      <c r="E249" s="136" t="e">
        <f>VLOOKUP(Tableau1[[#This Row],[Type]],LISTES!$A$2:$O$61,2,0)</f>
        <v>#N/A</v>
      </c>
      <c r="F249" s="136">
        <f>NETWORKDAYS.INTL(C249,D249,11,CALENDRIER!AF245:AF256)</f>
        <v>1</v>
      </c>
      <c r="G249" s="134"/>
      <c r="H249" s="137">
        <f>Tableau1[[#This Row],[Date début]]</f>
        <v>0</v>
      </c>
    </row>
    <row r="250" spans="1:8">
      <c r="A250" s="133" t="s">
        <v>181</v>
      </c>
      <c r="C250" s="134"/>
      <c r="D250" s="134">
        <f>Tableau1[[#This Row],[Date début]]</f>
        <v>0</v>
      </c>
      <c r="E250" s="136" t="e">
        <f>VLOOKUP(Tableau1[[#This Row],[Type]],LISTES!$A$2:$O$61,2,0)</f>
        <v>#N/A</v>
      </c>
      <c r="F250" s="136">
        <f>NETWORKDAYS.INTL(C250,D250,11,CALENDRIER!AF246:AF257)</f>
        <v>1</v>
      </c>
      <c r="G250" s="134"/>
      <c r="H250" s="137">
        <f>Tableau1[[#This Row],[Date début]]</f>
        <v>0</v>
      </c>
    </row>
    <row r="251" spans="1:8">
      <c r="A251" s="133" t="s">
        <v>181</v>
      </c>
      <c r="C251" s="134"/>
      <c r="D251" s="134">
        <f>Tableau1[[#This Row],[Date début]]</f>
        <v>0</v>
      </c>
      <c r="E251" s="136" t="e">
        <f>VLOOKUP(Tableau1[[#This Row],[Type]],LISTES!$A$2:$O$61,2,0)</f>
        <v>#N/A</v>
      </c>
      <c r="F251" s="136">
        <f>NETWORKDAYS.INTL(C251,D251,11,CALENDRIER!AF247:AF258)</f>
        <v>1</v>
      </c>
      <c r="G251" s="134"/>
      <c r="H251" s="137">
        <f>Tableau1[[#This Row],[Date début]]</f>
        <v>0</v>
      </c>
    </row>
    <row r="252" spans="1:8">
      <c r="A252" s="133" t="s">
        <v>181</v>
      </c>
      <c r="C252" s="134"/>
      <c r="D252" s="134">
        <f>Tableau1[[#This Row],[Date début]]</f>
        <v>0</v>
      </c>
      <c r="E252" s="136" t="e">
        <f>VLOOKUP(Tableau1[[#This Row],[Type]],LISTES!$A$2:$O$61,2,0)</f>
        <v>#N/A</v>
      </c>
      <c r="F252" s="136">
        <f>NETWORKDAYS.INTL(C252,D252,11,CALENDRIER!AF248:AF259)</f>
        <v>1</v>
      </c>
      <c r="G252" s="134"/>
      <c r="H252" s="137">
        <f>Tableau1[[#This Row],[Date début]]</f>
        <v>0</v>
      </c>
    </row>
    <row r="253" spans="1:8">
      <c r="A253" s="133" t="s">
        <v>181</v>
      </c>
      <c r="C253" s="134"/>
      <c r="D253" s="134">
        <f>Tableau1[[#This Row],[Date début]]</f>
        <v>0</v>
      </c>
      <c r="E253" s="136" t="e">
        <f>VLOOKUP(Tableau1[[#This Row],[Type]],LISTES!$A$2:$O$61,2,0)</f>
        <v>#N/A</v>
      </c>
      <c r="F253" s="136">
        <f>NETWORKDAYS.INTL(C253,D253,11,CALENDRIER!AF249:AF260)</f>
        <v>1</v>
      </c>
      <c r="G253" s="134"/>
      <c r="H253" s="137">
        <f>Tableau1[[#This Row],[Date début]]</f>
        <v>0</v>
      </c>
    </row>
    <row r="254" spans="1:8">
      <c r="A254" s="133" t="s">
        <v>181</v>
      </c>
      <c r="C254" s="134"/>
      <c r="D254" s="134">
        <f>Tableau1[[#This Row],[Date début]]</f>
        <v>0</v>
      </c>
      <c r="E254" s="136" t="e">
        <f>VLOOKUP(Tableau1[[#This Row],[Type]],LISTES!$A$2:$O$61,2,0)</f>
        <v>#N/A</v>
      </c>
      <c r="F254" s="136">
        <f>NETWORKDAYS.INTL(C254,D254,11,CALENDRIER!AF250:AF261)</f>
        <v>1</v>
      </c>
      <c r="G254" s="134"/>
      <c r="H254" s="137">
        <f>Tableau1[[#This Row],[Date début]]</f>
        <v>0</v>
      </c>
    </row>
    <row r="255" spans="1:8">
      <c r="A255" s="133" t="s">
        <v>181</v>
      </c>
      <c r="C255" s="134"/>
      <c r="D255" s="134">
        <f>Tableau1[[#This Row],[Date début]]</f>
        <v>0</v>
      </c>
      <c r="E255" s="136" t="e">
        <f>VLOOKUP(Tableau1[[#This Row],[Type]],LISTES!$A$2:$O$61,2,0)</f>
        <v>#N/A</v>
      </c>
      <c r="F255" s="136">
        <f>NETWORKDAYS.INTL(C255,D255,11,CALENDRIER!AF251:AF262)</f>
        <v>1</v>
      </c>
      <c r="G255" s="134"/>
      <c r="H255" s="137">
        <f>Tableau1[[#This Row],[Date début]]</f>
        <v>0</v>
      </c>
    </row>
    <row r="256" spans="1:8">
      <c r="A256" s="133" t="s">
        <v>181</v>
      </c>
      <c r="C256" s="134"/>
      <c r="D256" s="134">
        <f>Tableau1[[#This Row],[Date début]]</f>
        <v>0</v>
      </c>
      <c r="E256" s="136" t="e">
        <f>VLOOKUP(Tableau1[[#This Row],[Type]],LISTES!$A$2:$O$61,2,0)</f>
        <v>#N/A</v>
      </c>
      <c r="F256" s="136">
        <f>NETWORKDAYS.INTL(C256,D256,11,CALENDRIER!AF252:AF263)</f>
        <v>1</v>
      </c>
      <c r="G256" s="134"/>
      <c r="H256" s="137">
        <f>Tableau1[[#This Row],[Date début]]</f>
        <v>0</v>
      </c>
    </row>
    <row r="257" spans="1:8">
      <c r="A257" s="133" t="s">
        <v>181</v>
      </c>
      <c r="C257" s="134"/>
      <c r="D257" s="134">
        <f>Tableau1[[#This Row],[Date début]]</f>
        <v>0</v>
      </c>
      <c r="E257" s="136" t="e">
        <f>VLOOKUP(Tableau1[[#This Row],[Type]],LISTES!$A$2:$O$61,2,0)</f>
        <v>#N/A</v>
      </c>
      <c r="F257" s="136">
        <f>NETWORKDAYS.INTL(C257,D257,11,CALENDRIER!AF253:AF264)</f>
        <v>1</v>
      </c>
      <c r="G257" s="134"/>
      <c r="H257" s="137">
        <f>Tableau1[[#This Row],[Date début]]</f>
        <v>0</v>
      </c>
    </row>
    <row r="258" spans="1:8">
      <c r="A258" s="133" t="s">
        <v>181</v>
      </c>
      <c r="C258" s="134"/>
      <c r="D258" s="134">
        <f>Tableau1[[#This Row],[Date début]]</f>
        <v>0</v>
      </c>
      <c r="E258" s="136" t="e">
        <f>VLOOKUP(Tableau1[[#This Row],[Type]],LISTES!$A$2:$O$61,2,0)</f>
        <v>#N/A</v>
      </c>
      <c r="F258" s="136">
        <f>NETWORKDAYS.INTL(C258,D258,11,CALENDRIER!AF254:AF265)</f>
        <v>1</v>
      </c>
      <c r="G258" s="134"/>
      <c r="H258" s="137">
        <f>Tableau1[[#This Row],[Date début]]</f>
        <v>0</v>
      </c>
    </row>
    <row r="259" spans="1:8">
      <c r="A259" s="133" t="s">
        <v>181</v>
      </c>
      <c r="C259" s="134"/>
      <c r="D259" s="134">
        <f>Tableau1[[#This Row],[Date début]]</f>
        <v>0</v>
      </c>
      <c r="E259" s="136" t="e">
        <f>VLOOKUP(Tableau1[[#This Row],[Type]],LISTES!$A$2:$O$61,2,0)</f>
        <v>#N/A</v>
      </c>
      <c r="F259" s="136">
        <f>NETWORKDAYS.INTL(C259,D259,11,CALENDRIER!AF255:AF266)</f>
        <v>1</v>
      </c>
      <c r="G259" s="134"/>
      <c r="H259" s="137">
        <f>Tableau1[[#This Row],[Date début]]</f>
        <v>0</v>
      </c>
    </row>
    <row r="260" spans="1:8">
      <c r="A260" s="133" t="s">
        <v>181</v>
      </c>
      <c r="C260" s="134"/>
      <c r="D260" s="134">
        <f>Tableau1[[#This Row],[Date début]]</f>
        <v>0</v>
      </c>
      <c r="E260" s="136" t="e">
        <f>VLOOKUP(Tableau1[[#This Row],[Type]],LISTES!$A$2:$O$61,2,0)</f>
        <v>#N/A</v>
      </c>
      <c r="F260" s="136">
        <f>NETWORKDAYS.INTL(C260,D260,11,CALENDRIER!AF256:AF267)</f>
        <v>1</v>
      </c>
      <c r="G260" s="134"/>
      <c r="H260" s="137">
        <f>Tableau1[[#This Row],[Date début]]</f>
        <v>0</v>
      </c>
    </row>
    <row r="261" spans="1:8">
      <c r="A261" s="133" t="s">
        <v>181</v>
      </c>
      <c r="C261" s="134"/>
      <c r="D261" s="134">
        <f>Tableau1[[#This Row],[Date début]]</f>
        <v>0</v>
      </c>
      <c r="E261" s="136" t="e">
        <f>VLOOKUP(Tableau1[[#This Row],[Type]],LISTES!$A$2:$O$61,2,0)</f>
        <v>#N/A</v>
      </c>
      <c r="F261" s="136">
        <f>NETWORKDAYS.INTL(C261,D261,11,CALENDRIER!AF257:AF268)</f>
        <v>1</v>
      </c>
      <c r="G261" s="134"/>
      <c r="H261" s="137">
        <f>Tableau1[[#This Row],[Date début]]</f>
        <v>0</v>
      </c>
    </row>
    <row r="262" spans="1:8">
      <c r="A262" s="133" t="s">
        <v>181</v>
      </c>
      <c r="C262" s="134"/>
      <c r="D262" s="134">
        <f>Tableau1[[#This Row],[Date début]]</f>
        <v>0</v>
      </c>
      <c r="E262" s="136" t="e">
        <f>VLOOKUP(Tableau1[[#This Row],[Type]],LISTES!$A$2:$O$61,2,0)</f>
        <v>#N/A</v>
      </c>
      <c r="F262" s="136">
        <f>NETWORKDAYS.INTL(C262,D262,11,CALENDRIER!AF258:AF269)</f>
        <v>1</v>
      </c>
      <c r="G262" s="134"/>
      <c r="H262" s="137">
        <f>Tableau1[[#This Row],[Date début]]</f>
        <v>0</v>
      </c>
    </row>
    <row r="263" spans="1:8">
      <c r="A263" s="133" t="s">
        <v>181</v>
      </c>
      <c r="C263" s="134"/>
      <c r="D263" s="134">
        <f>Tableau1[[#This Row],[Date début]]</f>
        <v>0</v>
      </c>
      <c r="E263" s="136" t="e">
        <f>VLOOKUP(Tableau1[[#This Row],[Type]],LISTES!$A$2:$O$61,2,0)</f>
        <v>#N/A</v>
      </c>
      <c r="F263" s="136">
        <f>NETWORKDAYS.INTL(C263,D263,11,CALENDRIER!AF259:AF270)</f>
        <v>1</v>
      </c>
      <c r="G263" s="134"/>
      <c r="H263" s="137">
        <f>Tableau1[[#This Row],[Date début]]</f>
        <v>0</v>
      </c>
    </row>
    <row r="264" spans="1:8">
      <c r="A264" s="133" t="s">
        <v>181</v>
      </c>
      <c r="C264" s="134"/>
      <c r="D264" s="134">
        <f>Tableau1[[#This Row],[Date début]]</f>
        <v>0</v>
      </c>
      <c r="E264" s="136" t="e">
        <f>VLOOKUP(Tableau1[[#This Row],[Type]],LISTES!$A$2:$O$61,2,0)</f>
        <v>#N/A</v>
      </c>
      <c r="F264" s="136">
        <f>NETWORKDAYS.INTL(C264,D264,11,CALENDRIER!AF260:AF271)</f>
        <v>1</v>
      </c>
      <c r="G264" s="134"/>
      <c r="H264" s="137">
        <f>Tableau1[[#This Row],[Date début]]</f>
        <v>0</v>
      </c>
    </row>
    <row r="265" spans="1:8">
      <c r="A265" s="133" t="s">
        <v>181</v>
      </c>
      <c r="C265" s="134"/>
      <c r="D265" s="134">
        <f>Tableau1[[#This Row],[Date début]]</f>
        <v>0</v>
      </c>
      <c r="E265" s="136" t="e">
        <f>VLOOKUP(Tableau1[[#This Row],[Type]],LISTES!$A$2:$O$61,2,0)</f>
        <v>#N/A</v>
      </c>
      <c r="F265" s="136">
        <f>NETWORKDAYS.INTL(C265,D265,11,CALENDRIER!AF261:AF272)</f>
        <v>1</v>
      </c>
      <c r="G265" s="134"/>
      <c r="H265" s="137">
        <f>Tableau1[[#This Row],[Date début]]</f>
        <v>0</v>
      </c>
    </row>
    <row r="266" spans="1:8">
      <c r="A266" s="133" t="s">
        <v>181</v>
      </c>
      <c r="C266" s="134"/>
      <c r="D266" s="134">
        <f>Tableau1[[#This Row],[Date début]]</f>
        <v>0</v>
      </c>
      <c r="E266" s="136" t="e">
        <f>VLOOKUP(Tableau1[[#This Row],[Type]],LISTES!$A$2:$O$61,2,0)</f>
        <v>#N/A</v>
      </c>
      <c r="F266" s="136">
        <f>NETWORKDAYS.INTL(C266,D266,11,CALENDRIER!AF262:AF273)</f>
        <v>1</v>
      </c>
      <c r="G266" s="134"/>
      <c r="H266" s="137">
        <f>Tableau1[[#This Row],[Date début]]</f>
        <v>0</v>
      </c>
    </row>
    <row r="267" spans="1:8">
      <c r="A267" s="133" t="s">
        <v>181</v>
      </c>
      <c r="C267" s="134"/>
      <c r="D267" s="134">
        <f>Tableau1[[#This Row],[Date début]]</f>
        <v>0</v>
      </c>
      <c r="E267" s="136" t="e">
        <f>VLOOKUP(Tableau1[[#This Row],[Type]],LISTES!$A$2:$O$61,2,0)</f>
        <v>#N/A</v>
      </c>
      <c r="F267" s="136">
        <f>NETWORKDAYS.INTL(C267,D267,11,CALENDRIER!AF263:AF274)</f>
        <v>1</v>
      </c>
      <c r="G267" s="134"/>
      <c r="H267" s="137">
        <f>Tableau1[[#This Row],[Date début]]</f>
        <v>0</v>
      </c>
    </row>
    <row r="268" spans="1:8">
      <c r="A268" s="133" t="s">
        <v>181</v>
      </c>
      <c r="C268" s="134"/>
      <c r="D268" s="134">
        <f>Tableau1[[#This Row],[Date début]]</f>
        <v>0</v>
      </c>
      <c r="E268" s="136" t="e">
        <f>VLOOKUP(Tableau1[[#This Row],[Type]],LISTES!$A$2:$O$61,2,0)</f>
        <v>#N/A</v>
      </c>
      <c r="F268" s="136">
        <f>NETWORKDAYS.INTL(C268,D268,11,CALENDRIER!AF264:AF275)</f>
        <v>1</v>
      </c>
      <c r="G268" s="134"/>
      <c r="H268" s="137">
        <f>Tableau1[[#This Row],[Date début]]</f>
        <v>0</v>
      </c>
    </row>
    <row r="269" spans="1:8">
      <c r="A269" s="133" t="s">
        <v>181</v>
      </c>
      <c r="C269" s="134"/>
      <c r="D269" s="134">
        <f>Tableau1[[#This Row],[Date début]]</f>
        <v>0</v>
      </c>
      <c r="E269" s="136" t="e">
        <f>VLOOKUP(Tableau1[[#This Row],[Type]],LISTES!$A$2:$O$61,2,0)</f>
        <v>#N/A</v>
      </c>
      <c r="F269" s="136">
        <f>NETWORKDAYS.INTL(C269,D269,11,CALENDRIER!AF265:AF276)</f>
        <v>1</v>
      </c>
      <c r="G269" s="134"/>
      <c r="H269" s="137">
        <f>Tableau1[[#This Row],[Date début]]</f>
        <v>0</v>
      </c>
    </row>
    <row r="270" spans="1:8">
      <c r="A270" s="133" t="s">
        <v>181</v>
      </c>
      <c r="C270" s="134"/>
      <c r="D270" s="134">
        <f>Tableau1[[#This Row],[Date début]]</f>
        <v>0</v>
      </c>
      <c r="E270" s="136" t="e">
        <f>VLOOKUP(Tableau1[[#This Row],[Type]],LISTES!$A$2:$O$61,2,0)</f>
        <v>#N/A</v>
      </c>
      <c r="F270" s="136">
        <f>NETWORKDAYS.INTL(C270,D270,11,CALENDRIER!AF266:AF277)</f>
        <v>1</v>
      </c>
      <c r="G270" s="134"/>
      <c r="H270" s="137">
        <f>Tableau1[[#This Row],[Date début]]</f>
        <v>0</v>
      </c>
    </row>
    <row r="271" spans="1:8">
      <c r="A271" s="133" t="s">
        <v>181</v>
      </c>
      <c r="C271" s="134"/>
      <c r="D271" s="134">
        <f>Tableau1[[#This Row],[Date début]]</f>
        <v>0</v>
      </c>
      <c r="E271" s="136" t="e">
        <f>VLOOKUP(Tableau1[[#This Row],[Type]],LISTES!$A$2:$O$61,2,0)</f>
        <v>#N/A</v>
      </c>
      <c r="F271" s="136">
        <f>NETWORKDAYS.INTL(C271,D271,11,CALENDRIER!AF267:AF278)</f>
        <v>1</v>
      </c>
      <c r="G271" s="134"/>
      <c r="H271" s="137">
        <f>Tableau1[[#This Row],[Date début]]</f>
        <v>0</v>
      </c>
    </row>
    <row r="272" spans="1:8">
      <c r="A272" s="133" t="s">
        <v>181</v>
      </c>
      <c r="C272" s="134"/>
      <c r="D272" s="134">
        <f>Tableau1[[#This Row],[Date début]]</f>
        <v>0</v>
      </c>
      <c r="E272" s="136" t="e">
        <f>VLOOKUP(Tableau1[[#This Row],[Type]],LISTES!$A$2:$O$61,2,0)</f>
        <v>#N/A</v>
      </c>
      <c r="F272" s="136">
        <f>NETWORKDAYS.INTL(C272,D272,11,CALENDRIER!AF268:AF279)</f>
        <v>1</v>
      </c>
      <c r="G272" s="134"/>
      <c r="H272" s="137">
        <f>Tableau1[[#This Row],[Date début]]</f>
        <v>0</v>
      </c>
    </row>
    <row r="273" spans="1:8">
      <c r="A273" s="133" t="s">
        <v>181</v>
      </c>
      <c r="C273" s="134"/>
      <c r="D273" s="134">
        <f>Tableau1[[#This Row],[Date début]]</f>
        <v>0</v>
      </c>
      <c r="E273" s="136" t="e">
        <f>VLOOKUP(Tableau1[[#This Row],[Type]],LISTES!$A$2:$O$61,2,0)</f>
        <v>#N/A</v>
      </c>
      <c r="F273" s="136">
        <f>NETWORKDAYS.INTL(C273,D273,11,CALENDRIER!AF269:AF280)</f>
        <v>1</v>
      </c>
      <c r="G273" s="134"/>
      <c r="H273" s="137">
        <f>Tableau1[[#This Row],[Date début]]</f>
        <v>0</v>
      </c>
    </row>
    <row r="274" spans="1:8">
      <c r="A274" s="133" t="s">
        <v>181</v>
      </c>
      <c r="C274" s="134"/>
      <c r="D274" s="134">
        <f>Tableau1[[#This Row],[Date début]]</f>
        <v>0</v>
      </c>
      <c r="E274" s="136" t="e">
        <f>VLOOKUP(Tableau1[[#This Row],[Type]],LISTES!$A$2:$O$61,2,0)</f>
        <v>#N/A</v>
      </c>
      <c r="F274" s="136">
        <f>NETWORKDAYS.INTL(C274,D274,11,CALENDRIER!AF270:AF281)</f>
        <v>1</v>
      </c>
      <c r="G274" s="134"/>
      <c r="H274" s="137">
        <f>Tableau1[[#This Row],[Date début]]</f>
        <v>0</v>
      </c>
    </row>
    <row r="275" spans="1:8">
      <c r="A275" s="133" t="s">
        <v>181</v>
      </c>
      <c r="C275" s="134"/>
      <c r="D275" s="134">
        <f>Tableau1[[#This Row],[Date début]]</f>
        <v>0</v>
      </c>
      <c r="E275" s="136" t="e">
        <f>VLOOKUP(Tableau1[[#This Row],[Type]],LISTES!$A$2:$O$61,2,0)</f>
        <v>#N/A</v>
      </c>
      <c r="F275" s="136">
        <f>NETWORKDAYS.INTL(C275,D275,11,CALENDRIER!AF271:AF282)</f>
        <v>1</v>
      </c>
      <c r="G275" s="134"/>
      <c r="H275" s="137">
        <f>Tableau1[[#This Row],[Date début]]</f>
        <v>0</v>
      </c>
    </row>
    <row r="276" spans="1:8">
      <c r="A276" s="133" t="s">
        <v>181</v>
      </c>
      <c r="C276" s="134"/>
      <c r="D276" s="134">
        <f>Tableau1[[#This Row],[Date début]]</f>
        <v>0</v>
      </c>
      <c r="E276" s="136" t="e">
        <f>VLOOKUP(Tableau1[[#This Row],[Type]],LISTES!$A$2:$O$61,2,0)</f>
        <v>#N/A</v>
      </c>
      <c r="F276" s="136">
        <f>NETWORKDAYS.INTL(C276,D276,11,CALENDRIER!AF272:AF283)</f>
        <v>1</v>
      </c>
      <c r="G276" s="134"/>
      <c r="H276" s="137">
        <f>Tableau1[[#This Row],[Date début]]</f>
        <v>0</v>
      </c>
    </row>
    <row r="277" spans="1:8">
      <c r="A277" s="133" t="s">
        <v>181</v>
      </c>
      <c r="C277" s="134"/>
      <c r="D277" s="134">
        <f>Tableau1[[#This Row],[Date début]]</f>
        <v>0</v>
      </c>
      <c r="E277" s="136" t="e">
        <f>VLOOKUP(Tableau1[[#This Row],[Type]],LISTES!$A$2:$O$61,2,0)</f>
        <v>#N/A</v>
      </c>
      <c r="F277" s="136">
        <f>NETWORKDAYS.INTL(C277,D277,11,CALENDRIER!AF273:AF284)</f>
        <v>1</v>
      </c>
      <c r="G277" s="134"/>
      <c r="H277" s="137">
        <f>Tableau1[[#This Row],[Date début]]</f>
        <v>0</v>
      </c>
    </row>
    <row r="278" spans="1:8">
      <c r="A278" s="133" t="s">
        <v>181</v>
      </c>
      <c r="C278" s="134"/>
      <c r="D278" s="134">
        <f>Tableau1[[#This Row],[Date début]]</f>
        <v>0</v>
      </c>
      <c r="E278" s="136" t="e">
        <f>VLOOKUP(Tableau1[[#This Row],[Type]],LISTES!$A$2:$O$61,2,0)</f>
        <v>#N/A</v>
      </c>
      <c r="F278" s="136">
        <f>NETWORKDAYS.INTL(C278,D278,11,CALENDRIER!AF274:AF285)</f>
        <v>1</v>
      </c>
      <c r="G278" s="134"/>
      <c r="H278" s="137">
        <f>Tableau1[[#This Row],[Date début]]</f>
        <v>0</v>
      </c>
    </row>
    <row r="279" spans="1:8">
      <c r="A279" s="133" t="s">
        <v>181</v>
      </c>
      <c r="C279" s="134"/>
      <c r="D279" s="134">
        <f>Tableau1[[#This Row],[Date début]]</f>
        <v>0</v>
      </c>
      <c r="E279" s="136" t="e">
        <f>VLOOKUP(Tableau1[[#This Row],[Type]],LISTES!$A$2:$O$61,2,0)</f>
        <v>#N/A</v>
      </c>
      <c r="F279" s="136">
        <f>NETWORKDAYS.INTL(C279,D279,11,CALENDRIER!AF275:AF286)</f>
        <v>1</v>
      </c>
      <c r="G279" s="134"/>
      <c r="H279" s="137">
        <f>Tableau1[[#This Row],[Date début]]</f>
        <v>0</v>
      </c>
    </row>
    <row r="280" spans="1:8">
      <c r="A280" s="133" t="s">
        <v>181</v>
      </c>
      <c r="C280" s="134"/>
      <c r="D280" s="134">
        <f>Tableau1[[#This Row],[Date début]]</f>
        <v>0</v>
      </c>
      <c r="E280" s="136" t="e">
        <f>VLOOKUP(Tableau1[[#This Row],[Type]],LISTES!$A$2:$O$61,2,0)</f>
        <v>#N/A</v>
      </c>
      <c r="F280" s="136">
        <f>NETWORKDAYS.INTL(C280,D280,11,CALENDRIER!AF276:AF287)</f>
        <v>1</v>
      </c>
      <c r="G280" s="134"/>
      <c r="H280" s="137">
        <f>Tableau1[[#This Row],[Date début]]</f>
        <v>0</v>
      </c>
    </row>
    <row r="281" spans="1:8">
      <c r="A281" s="133" t="s">
        <v>181</v>
      </c>
      <c r="C281" s="134"/>
      <c r="D281" s="134">
        <f>Tableau1[[#This Row],[Date début]]</f>
        <v>0</v>
      </c>
      <c r="E281" s="136" t="e">
        <f>VLOOKUP(Tableau1[[#This Row],[Type]],LISTES!$A$2:$O$61,2,0)</f>
        <v>#N/A</v>
      </c>
      <c r="F281" s="136">
        <f>NETWORKDAYS.INTL(C281,D281,11,CALENDRIER!AF277:AF288)</f>
        <v>1</v>
      </c>
      <c r="G281" s="134"/>
      <c r="H281" s="137">
        <f>Tableau1[[#This Row],[Date début]]</f>
        <v>0</v>
      </c>
    </row>
    <row r="282" spans="1:8">
      <c r="A282" s="133" t="s">
        <v>181</v>
      </c>
      <c r="C282" s="134"/>
      <c r="D282" s="134">
        <f>Tableau1[[#This Row],[Date début]]</f>
        <v>0</v>
      </c>
      <c r="E282" s="136" t="e">
        <f>VLOOKUP(Tableau1[[#This Row],[Type]],LISTES!$A$2:$O$61,2,0)</f>
        <v>#N/A</v>
      </c>
      <c r="F282" s="136">
        <f>NETWORKDAYS.INTL(C282,D282,11,CALENDRIER!AF278:AF289)</f>
        <v>1</v>
      </c>
      <c r="G282" s="134"/>
      <c r="H282" s="137">
        <f>Tableau1[[#This Row],[Date début]]</f>
        <v>0</v>
      </c>
    </row>
    <row r="283" spans="1:8">
      <c r="A283" s="133" t="s">
        <v>181</v>
      </c>
      <c r="C283" s="134"/>
      <c r="D283" s="134">
        <f>Tableau1[[#This Row],[Date début]]</f>
        <v>0</v>
      </c>
      <c r="E283" s="136" t="e">
        <f>VLOOKUP(Tableau1[[#This Row],[Type]],LISTES!$A$2:$O$61,2,0)</f>
        <v>#N/A</v>
      </c>
      <c r="F283" s="136">
        <f>NETWORKDAYS.INTL(C283,D283,11,CALENDRIER!AF279:AF290)</f>
        <v>1</v>
      </c>
      <c r="G283" s="134"/>
      <c r="H283" s="137">
        <f>Tableau1[[#This Row],[Date début]]</f>
        <v>0</v>
      </c>
    </row>
    <row r="284" spans="1:8">
      <c r="A284" s="133" t="s">
        <v>181</v>
      </c>
      <c r="C284" s="134"/>
      <c r="D284" s="134">
        <f>Tableau1[[#This Row],[Date début]]</f>
        <v>0</v>
      </c>
      <c r="E284" s="136" t="e">
        <f>VLOOKUP(Tableau1[[#This Row],[Type]],LISTES!$A$2:$O$61,2,0)</f>
        <v>#N/A</v>
      </c>
      <c r="F284" s="136">
        <f>NETWORKDAYS.INTL(C284,D284,11,CALENDRIER!AF280:AF291)</f>
        <v>1</v>
      </c>
      <c r="G284" s="134"/>
      <c r="H284" s="137">
        <f>Tableau1[[#This Row],[Date début]]</f>
        <v>0</v>
      </c>
    </row>
    <row r="285" spans="1:8">
      <c r="A285" s="133" t="s">
        <v>181</v>
      </c>
      <c r="C285" s="134"/>
      <c r="D285" s="134">
        <f>Tableau1[[#This Row],[Date début]]</f>
        <v>0</v>
      </c>
      <c r="E285" s="136" t="e">
        <f>VLOOKUP(Tableau1[[#This Row],[Type]],LISTES!$A$2:$O$61,2,0)</f>
        <v>#N/A</v>
      </c>
      <c r="F285" s="136">
        <f>NETWORKDAYS.INTL(C285,D285,11,CALENDRIER!AF281:AF292)</f>
        <v>1</v>
      </c>
      <c r="G285" s="134"/>
      <c r="H285" s="137">
        <f>Tableau1[[#This Row],[Date début]]</f>
        <v>0</v>
      </c>
    </row>
    <row r="286" spans="1:8">
      <c r="A286" s="133" t="s">
        <v>181</v>
      </c>
      <c r="C286" s="134"/>
      <c r="D286" s="134">
        <f>Tableau1[[#This Row],[Date début]]</f>
        <v>0</v>
      </c>
      <c r="E286" s="136" t="e">
        <f>VLOOKUP(Tableau1[[#This Row],[Type]],LISTES!$A$2:$O$61,2,0)</f>
        <v>#N/A</v>
      </c>
      <c r="F286" s="136">
        <f>NETWORKDAYS.INTL(C286,D286,11,CALENDRIER!AF282:AF293)</f>
        <v>1</v>
      </c>
      <c r="G286" s="134"/>
      <c r="H286" s="137">
        <f>Tableau1[[#This Row],[Date début]]</f>
        <v>0</v>
      </c>
    </row>
    <row r="287" spans="1:8">
      <c r="A287" s="133" t="s">
        <v>181</v>
      </c>
      <c r="C287" s="134"/>
      <c r="D287" s="134">
        <f>Tableau1[[#This Row],[Date début]]</f>
        <v>0</v>
      </c>
      <c r="E287" s="136" t="e">
        <f>VLOOKUP(Tableau1[[#This Row],[Type]],LISTES!$A$2:$O$61,2,0)</f>
        <v>#N/A</v>
      </c>
      <c r="F287" s="136">
        <f>NETWORKDAYS.INTL(C287,D287,11,CALENDRIER!AF283:AF294)</f>
        <v>1</v>
      </c>
      <c r="G287" s="134"/>
      <c r="H287" s="137">
        <f>Tableau1[[#This Row],[Date début]]</f>
        <v>0</v>
      </c>
    </row>
    <row r="288" spans="1:8">
      <c r="A288" s="133" t="s">
        <v>181</v>
      </c>
      <c r="C288" s="134"/>
      <c r="D288" s="134">
        <f>Tableau1[[#This Row],[Date début]]</f>
        <v>0</v>
      </c>
      <c r="E288" s="136" t="e">
        <f>VLOOKUP(Tableau1[[#This Row],[Type]],LISTES!$A$2:$O$61,2,0)</f>
        <v>#N/A</v>
      </c>
      <c r="F288" s="136">
        <f>NETWORKDAYS.INTL(C288,D288,11,CALENDRIER!AF284:AF295)</f>
        <v>1</v>
      </c>
      <c r="G288" s="134"/>
      <c r="H288" s="137">
        <f>Tableau1[[#This Row],[Date début]]</f>
        <v>0</v>
      </c>
    </row>
    <row r="289" spans="1:8">
      <c r="A289" s="133" t="s">
        <v>181</v>
      </c>
      <c r="C289" s="134"/>
      <c r="D289" s="134">
        <f>Tableau1[[#This Row],[Date début]]</f>
        <v>0</v>
      </c>
      <c r="E289" s="136" t="e">
        <f>VLOOKUP(Tableau1[[#This Row],[Type]],LISTES!$A$2:$O$61,2,0)</f>
        <v>#N/A</v>
      </c>
      <c r="F289" s="136">
        <f>NETWORKDAYS.INTL(C289,D289,11,CALENDRIER!AF285:AF296)</f>
        <v>1</v>
      </c>
      <c r="G289" s="134"/>
      <c r="H289" s="137">
        <f>Tableau1[[#This Row],[Date début]]</f>
        <v>0</v>
      </c>
    </row>
    <row r="290" spans="1:8">
      <c r="A290" s="133" t="s">
        <v>181</v>
      </c>
      <c r="C290" s="134"/>
      <c r="D290" s="134">
        <f>Tableau1[[#This Row],[Date début]]</f>
        <v>0</v>
      </c>
      <c r="E290" s="136" t="e">
        <f>VLOOKUP(Tableau1[[#This Row],[Type]],LISTES!$A$2:$O$61,2,0)</f>
        <v>#N/A</v>
      </c>
      <c r="F290" s="136">
        <f>NETWORKDAYS.INTL(C290,D290,11,CALENDRIER!AF286:AF297)</f>
        <v>1</v>
      </c>
      <c r="G290" s="134"/>
      <c r="H290" s="137">
        <f>Tableau1[[#This Row],[Date début]]</f>
        <v>0</v>
      </c>
    </row>
    <row r="291" spans="1:8">
      <c r="A291" s="133" t="s">
        <v>181</v>
      </c>
      <c r="C291" s="134"/>
      <c r="D291" s="134">
        <f>Tableau1[[#This Row],[Date début]]</f>
        <v>0</v>
      </c>
      <c r="E291" s="136" t="e">
        <f>VLOOKUP(Tableau1[[#This Row],[Type]],LISTES!$A$2:$O$61,2,0)</f>
        <v>#N/A</v>
      </c>
      <c r="F291" s="136">
        <f>NETWORKDAYS.INTL(C291,D291,11,CALENDRIER!AF287:AF298)</f>
        <v>1</v>
      </c>
      <c r="G291" s="134"/>
      <c r="H291" s="137">
        <f>Tableau1[[#This Row],[Date début]]</f>
        <v>0</v>
      </c>
    </row>
    <row r="292" spans="1:8">
      <c r="A292" s="133" t="s">
        <v>181</v>
      </c>
      <c r="C292" s="134"/>
      <c r="D292" s="134">
        <f>Tableau1[[#This Row],[Date début]]</f>
        <v>0</v>
      </c>
      <c r="E292" s="136" t="e">
        <f>VLOOKUP(Tableau1[[#This Row],[Type]],LISTES!$A$2:$O$61,2,0)</f>
        <v>#N/A</v>
      </c>
      <c r="F292" s="136">
        <f>NETWORKDAYS.INTL(C292,D292,11,CALENDRIER!AF288:AF299)</f>
        <v>1</v>
      </c>
      <c r="G292" s="134"/>
      <c r="H292" s="137">
        <f>Tableau1[[#This Row],[Date début]]</f>
        <v>0</v>
      </c>
    </row>
    <row r="293" spans="1:8">
      <c r="A293" s="133" t="s">
        <v>181</v>
      </c>
      <c r="C293" s="134"/>
      <c r="D293" s="134">
        <f>Tableau1[[#This Row],[Date début]]</f>
        <v>0</v>
      </c>
      <c r="E293" s="136" t="e">
        <f>VLOOKUP(Tableau1[[#This Row],[Type]],LISTES!$A$2:$O$61,2,0)</f>
        <v>#N/A</v>
      </c>
      <c r="F293" s="136">
        <f>NETWORKDAYS.INTL(C293,D293,11,CALENDRIER!AF289:AF300)</f>
        <v>1</v>
      </c>
      <c r="G293" s="134"/>
      <c r="H293" s="137">
        <f>Tableau1[[#This Row],[Date début]]</f>
        <v>0</v>
      </c>
    </row>
    <row r="294" spans="1:8">
      <c r="A294" s="133" t="s">
        <v>181</v>
      </c>
      <c r="C294" s="134"/>
      <c r="D294" s="134">
        <f>Tableau1[[#This Row],[Date début]]</f>
        <v>0</v>
      </c>
      <c r="E294" s="136" t="e">
        <f>VLOOKUP(Tableau1[[#This Row],[Type]],LISTES!$A$2:$O$61,2,0)</f>
        <v>#N/A</v>
      </c>
      <c r="F294" s="136">
        <f>NETWORKDAYS.INTL(C294,D294,11,CALENDRIER!AF290:AF301)</f>
        <v>1</v>
      </c>
      <c r="G294" s="134"/>
      <c r="H294" s="137">
        <f>Tableau1[[#This Row],[Date début]]</f>
        <v>0</v>
      </c>
    </row>
    <row r="295" spans="1:8">
      <c r="A295" s="133" t="s">
        <v>181</v>
      </c>
      <c r="C295" s="134"/>
      <c r="D295" s="134">
        <f>Tableau1[[#This Row],[Date début]]</f>
        <v>0</v>
      </c>
      <c r="E295" s="136" t="e">
        <f>VLOOKUP(Tableau1[[#This Row],[Type]],LISTES!$A$2:$O$61,2,0)</f>
        <v>#N/A</v>
      </c>
      <c r="F295" s="136">
        <f>NETWORKDAYS.INTL(C295,D295,11,CALENDRIER!AF291:AF302)</f>
        <v>1</v>
      </c>
      <c r="G295" s="134"/>
      <c r="H295" s="137">
        <f>Tableau1[[#This Row],[Date début]]</f>
        <v>0</v>
      </c>
    </row>
    <row r="296" spans="1:8">
      <c r="A296" s="133" t="s">
        <v>181</v>
      </c>
      <c r="C296" s="134"/>
      <c r="D296" s="134">
        <f>Tableau1[[#This Row],[Date début]]</f>
        <v>0</v>
      </c>
      <c r="E296" s="136" t="e">
        <f>VLOOKUP(Tableau1[[#This Row],[Type]],LISTES!$A$2:$O$61,2,0)</f>
        <v>#N/A</v>
      </c>
      <c r="F296" s="136">
        <f>NETWORKDAYS.INTL(C296,D296,11,CALENDRIER!AF292:AF303)</f>
        <v>1</v>
      </c>
      <c r="G296" s="134"/>
      <c r="H296" s="137">
        <f>Tableau1[[#This Row],[Date début]]</f>
        <v>0</v>
      </c>
    </row>
    <row r="297" spans="1:8">
      <c r="A297" s="133" t="s">
        <v>181</v>
      </c>
      <c r="C297" s="134"/>
      <c r="D297" s="134">
        <f>Tableau1[[#This Row],[Date début]]</f>
        <v>0</v>
      </c>
      <c r="E297" s="136" t="e">
        <f>VLOOKUP(Tableau1[[#This Row],[Type]],LISTES!$A$2:$O$61,2,0)</f>
        <v>#N/A</v>
      </c>
      <c r="F297" s="136">
        <f>NETWORKDAYS.INTL(C297,D297,11,CALENDRIER!AF293:AF304)</f>
        <v>1</v>
      </c>
      <c r="G297" s="134"/>
      <c r="H297" s="137">
        <f>Tableau1[[#This Row],[Date début]]</f>
        <v>0</v>
      </c>
    </row>
    <row r="298" spans="1:8">
      <c r="A298" s="133" t="s">
        <v>181</v>
      </c>
      <c r="C298" s="134"/>
      <c r="D298" s="134">
        <f>Tableau1[[#This Row],[Date début]]</f>
        <v>0</v>
      </c>
      <c r="E298" s="136" t="e">
        <f>VLOOKUP(Tableau1[[#This Row],[Type]],LISTES!$A$2:$O$61,2,0)</f>
        <v>#N/A</v>
      </c>
      <c r="F298" s="136">
        <f>NETWORKDAYS.INTL(C298,D298,11,CALENDRIER!AF294:AF305)</f>
        <v>1</v>
      </c>
      <c r="G298" s="134"/>
      <c r="H298" s="137">
        <f>Tableau1[[#This Row],[Date début]]</f>
        <v>0</v>
      </c>
    </row>
    <row r="299" spans="1:8">
      <c r="A299" s="133" t="s">
        <v>181</v>
      </c>
      <c r="C299" s="134"/>
      <c r="D299" s="134">
        <f>Tableau1[[#This Row],[Date début]]</f>
        <v>0</v>
      </c>
      <c r="E299" s="136" t="e">
        <f>VLOOKUP(Tableau1[[#This Row],[Type]],LISTES!$A$2:$O$61,2,0)</f>
        <v>#N/A</v>
      </c>
      <c r="F299" s="136">
        <f>NETWORKDAYS.INTL(C299,D299,11,CALENDRIER!AF295:AF306)</f>
        <v>1</v>
      </c>
      <c r="G299" s="134"/>
      <c r="H299" s="137">
        <f>Tableau1[[#This Row],[Date début]]</f>
        <v>0</v>
      </c>
    </row>
    <row r="300" spans="1:8">
      <c r="A300" s="133" t="s">
        <v>181</v>
      </c>
      <c r="C300" s="134"/>
      <c r="D300" s="134">
        <f>Tableau1[[#This Row],[Date début]]</f>
        <v>0</v>
      </c>
      <c r="E300" s="136" t="e">
        <f>VLOOKUP(Tableau1[[#This Row],[Type]],LISTES!$A$2:$O$61,2,0)</f>
        <v>#N/A</v>
      </c>
      <c r="F300" s="136">
        <f>NETWORKDAYS.INTL(C300,D300,11,CALENDRIER!AF296:AF307)</f>
        <v>1</v>
      </c>
      <c r="G300" s="134"/>
      <c r="H300" s="137">
        <f>Tableau1[[#This Row],[Date début]]</f>
        <v>0</v>
      </c>
    </row>
    <row r="301" spans="1:8">
      <c r="A301" s="133" t="s">
        <v>181</v>
      </c>
      <c r="C301" s="134"/>
      <c r="D301" s="134">
        <f>Tableau1[[#This Row],[Date début]]</f>
        <v>0</v>
      </c>
      <c r="E301" s="136" t="e">
        <f>VLOOKUP(Tableau1[[#This Row],[Type]],LISTES!$A$2:$O$61,2,0)</f>
        <v>#N/A</v>
      </c>
      <c r="F301" s="136">
        <f>NETWORKDAYS.INTL(C301,D301,11,CALENDRIER!AF297:AF308)</f>
        <v>1</v>
      </c>
      <c r="G301" s="134"/>
      <c r="H301" s="137">
        <f>Tableau1[[#This Row],[Date début]]</f>
        <v>0</v>
      </c>
    </row>
    <row r="302" spans="1:8">
      <c r="A302" s="133" t="s">
        <v>181</v>
      </c>
      <c r="C302" s="134"/>
      <c r="D302" s="134">
        <f>Tableau1[[#This Row],[Date début]]</f>
        <v>0</v>
      </c>
      <c r="E302" s="136" t="e">
        <f>VLOOKUP(Tableau1[[#This Row],[Type]],LISTES!$A$2:$O$61,2,0)</f>
        <v>#N/A</v>
      </c>
      <c r="F302" s="136">
        <f>NETWORKDAYS.INTL(C302,D302,11,CALENDRIER!AF298:AF309)</f>
        <v>1</v>
      </c>
      <c r="G302" s="134"/>
      <c r="H302" s="137">
        <f>Tableau1[[#This Row],[Date début]]</f>
        <v>0</v>
      </c>
    </row>
    <row r="303" spans="1:8">
      <c r="A303" s="133" t="s">
        <v>181</v>
      </c>
      <c r="C303" s="134"/>
      <c r="D303" s="134">
        <f>Tableau1[[#This Row],[Date début]]</f>
        <v>0</v>
      </c>
      <c r="E303" s="136" t="e">
        <f>VLOOKUP(Tableau1[[#This Row],[Type]],LISTES!$A$2:$O$61,2,0)</f>
        <v>#N/A</v>
      </c>
      <c r="F303" s="136">
        <f>NETWORKDAYS.INTL(C303,D303,11,CALENDRIER!AF299:AF310)</f>
        <v>1</v>
      </c>
      <c r="G303" s="134"/>
      <c r="H303" s="137">
        <f>Tableau1[[#This Row],[Date début]]</f>
        <v>0</v>
      </c>
    </row>
    <row r="304" spans="1:8">
      <c r="A304" s="133" t="s">
        <v>181</v>
      </c>
      <c r="C304" s="134"/>
      <c r="D304" s="134">
        <f>Tableau1[[#This Row],[Date début]]</f>
        <v>0</v>
      </c>
      <c r="E304" s="136" t="e">
        <f>VLOOKUP(Tableau1[[#This Row],[Type]],LISTES!$A$2:$O$61,2,0)</f>
        <v>#N/A</v>
      </c>
      <c r="F304" s="136">
        <f>NETWORKDAYS.INTL(C304,D304,11,CALENDRIER!AF300:AF311)</f>
        <v>1</v>
      </c>
      <c r="G304" s="134"/>
      <c r="H304" s="137">
        <f>Tableau1[[#This Row],[Date début]]</f>
        <v>0</v>
      </c>
    </row>
    <row r="305" spans="1:8">
      <c r="A305" s="133" t="s">
        <v>181</v>
      </c>
      <c r="C305" s="134"/>
      <c r="D305" s="134">
        <f>Tableau1[[#This Row],[Date début]]</f>
        <v>0</v>
      </c>
      <c r="E305" s="136" t="e">
        <f>VLOOKUP(Tableau1[[#This Row],[Type]],LISTES!$A$2:$O$61,2,0)</f>
        <v>#N/A</v>
      </c>
      <c r="F305" s="136">
        <f>NETWORKDAYS.INTL(C305,D305,11,CALENDRIER!AF301:AF312)</f>
        <v>1</v>
      </c>
      <c r="G305" s="134"/>
      <c r="H305" s="137">
        <f>Tableau1[[#This Row],[Date début]]</f>
        <v>0</v>
      </c>
    </row>
    <row r="306" spans="1:8">
      <c r="A306" s="133" t="s">
        <v>181</v>
      </c>
      <c r="C306" s="134"/>
      <c r="D306" s="134">
        <f>Tableau1[[#This Row],[Date début]]</f>
        <v>0</v>
      </c>
      <c r="E306" s="136" t="e">
        <f>VLOOKUP(Tableau1[[#This Row],[Type]],LISTES!$A$2:$O$61,2,0)</f>
        <v>#N/A</v>
      </c>
      <c r="F306" s="136">
        <f>NETWORKDAYS.INTL(C306,D306,11,CALENDRIER!AF302:AF313)</f>
        <v>1</v>
      </c>
      <c r="G306" s="134"/>
      <c r="H306" s="137">
        <f>Tableau1[[#This Row],[Date début]]</f>
        <v>0</v>
      </c>
    </row>
    <row r="307" spans="1:8">
      <c r="A307" s="133" t="s">
        <v>181</v>
      </c>
      <c r="C307" s="134"/>
      <c r="D307" s="134">
        <f>Tableau1[[#This Row],[Date début]]</f>
        <v>0</v>
      </c>
      <c r="E307" s="136" t="e">
        <f>VLOOKUP(Tableau1[[#This Row],[Type]],LISTES!$A$2:$O$61,2,0)</f>
        <v>#N/A</v>
      </c>
      <c r="F307" s="136">
        <f>NETWORKDAYS.INTL(C307,D307,11,CALENDRIER!AF303:AF314)</f>
        <v>1</v>
      </c>
      <c r="G307" s="134"/>
      <c r="H307" s="137">
        <f>Tableau1[[#This Row],[Date début]]</f>
        <v>0</v>
      </c>
    </row>
    <row r="308" spans="1:8">
      <c r="A308" s="133" t="s">
        <v>181</v>
      </c>
      <c r="C308" s="134"/>
      <c r="D308" s="134">
        <f>Tableau1[[#This Row],[Date début]]</f>
        <v>0</v>
      </c>
      <c r="E308" s="136" t="e">
        <f>VLOOKUP(Tableau1[[#This Row],[Type]],LISTES!$A$2:$O$61,2,0)</f>
        <v>#N/A</v>
      </c>
      <c r="F308" s="136">
        <f>NETWORKDAYS.INTL(C308,D308,11,CALENDRIER!AF304:AF315)</f>
        <v>1</v>
      </c>
      <c r="G308" s="134"/>
      <c r="H308" s="137">
        <f>Tableau1[[#This Row],[Date début]]</f>
        <v>0</v>
      </c>
    </row>
    <row r="309" spans="1:8">
      <c r="A309" s="133" t="s">
        <v>181</v>
      </c>
      <c r="C309" s="134"/>
      <c r="D309" s="134">
        <f>Tableau1[[#This Row],[Date début]]</f>
        <v>0</v>
      </c>
      <c r="E309" s="136" t="e">
        <f>VLOOKUP(Tableau1[[#This Row],[Type]],LISTES!$A$2:$O$61,2,0)</f>
        <v>#N/A</v>
      </c>
      <c r="F309" s="136">
        <f>NETWORKDAYS.INTL(C309,D309,11,CALENDRIER!AF305:AF316)</f>
        <v>1</v>
      </c>
      <c r="G309" s="134"/>
      <c r="H309" s="137">
        <f>Tableau1[[#This Row],[Date début]]</f>
        <v>0</v>
      </c>
    </row>
    <row r="310" spans="1:8">
      <c r="A310" s="133" t="s">
        <v>181</v>
      </c>
      <c r="C310" s="134"/>
      <c r="D310" s="134">
        <f>Tableau1[[#This Row],[Date début]]</f>
        <v>0</v>
      </c>
      <c r="E310" s="136" t="e">
        <f>VLOOKUP(Tableau1[[#This Row],[Type]],LISTES!$A$2:$O$61,2,0)</f>
        <v>#N/A</v>
      </c>
      <c r="F310" s="136">
        <f>NETWORKDAYS.INTL(C310,D310,11,CALENDRIER!AF306:AF317)</f>
        <v>1</v>
      </c>
      <c r="G310" s="134"/>
      <c r="H310" s="137">
        <f>Tableau1[[#This Row],[Date début]]</f>
        <v>0</v>
      </c>
    </row>
    <row r="311" spans="1:8">
      <c r="A311" s="133" t="s">
        <v>181</v>
      </c>
      <c r="C311" s="134"/>
      <c r="D311" s="134">
        <f>Tableau1[[#This Row],[Date début]]</f>
        <v>0</v>
      </c>
      <c r="E311" s="136" t="e">
        <f>VLOOKUP(Tableau1[[#This Row],[Type]],LISTES!$A$2:$O$61,2,0)</f>
        <v>#N/A</v>
      </c>
      <c r="F311" s="136">
        <f>NETWORKDAYS.INTL(C311,D311,11,CALENDRIER!AF307:AF318)</f>
        <v>1</v>
      </c>
      <c r="G311" s="134"/>
      <c r="H311" s="137">
        <f>Tableau1[[#This Row],[Date début]]</f>
        <v>0</v>
      </c>
    </row>
    <row r="312" spans="1:8">
      <c r="A312" s="133" t="s">
        <v>181</v>
      </c>
      <c r="C312" s="134"/>
      <c r="D312" s="134">
        <f>Tableau1[[#This Row],[Date début]]</f>
        <v>0</v>
      </c>
      <c r="E312" s="136" t="e">
        <f>VLOOKUP(Tableau1[[#This Row],[Type]],LISTES!$A$2:$O$61,2,0)</f>
        <v>#N/A</v>
      </c>
      <c r="F312" s="136">
        <f>NETWORKDAYS.INTL(C312,D312,11,CALENDRIER!AF308:AF319)</f>
        <v>1</v>
      </c>
      <c r="G312" s="134"/>
      <c r="H312" s="137">
        <f>Tableau1[[#This Row],[Date début]]</f>
        <v>0</v>
      </c>
    </row>
    <row r="313" spans="1:8">
      <c r="A313" s="133" t="s">
        <v>181</v>
      </c>
      <c r="C313" s="134"/>
      <c r="D313" s="134">
        <f>Tableau1[[#This Row],[Date début]]</f>
        <v>0</v>
      </c>
      <c r="E313" s="136" t="e">
        <f>VLOOKUP(Tableau1[[#This Row],[Type]],LISTES!$A$2:$O$61,2,0)</f>
        <v>#N/A</v>
      </c>
      <c r="F313" s="136">
        <f>NETWORKDAYS.INTL(C313,D313,11,CALENDRIER!AF309:AF320)</f>
        <v>1</v>
      </c>
      <c r="G313" s="134"/>
      <c r="H313" s="137">
        <f>Tableau1[[#This Row],[Date début]]</f>
        <v>0</v>
      </c>
    </row>
    <row r="314" spans="1:8">
      <c r="A314" s="133" t="s">
        <v>181</v>
      </c>
      <c r="C314" s="134"/>
      <c r="D314" s="134">
        <f>Tableau1[[#This Row],[Date début]]</f>
        <v>0</v>
      </c>
      <c r="E314" s="136" t="e">
        <f>VLOOKUP(Tableau1[[#This Row],[Type]],LISTES!$A$2:$O$61,2,0)</f>
        <v>#N/A</v>
      </c>
      <c r="F314" s="136">
        <f>NETWORKDAYS.INTL(C314,D314,11,CALENDRIER!AF310:AF321)</f>
        <v>1</v>
      </c>
      <c r="G314" s="134"/>
      <c r="H314" s="137">
        <f>Tableau1[[#This Row],[Date début]]</f>
        <v>0</v>
      </c>
    </row>
    <row r="315" spans="1:8">
      <c r="A315" s="133" t="s">
        <v>181</v>
      </c>
      <c r="C315" s="134"/>
      <c r="D315" s="134">
        <f>Tableau1[[#This Row],[Date début]]</f>
        <v>0</v>
      </c>
      <c r="E315" s="136" t="e">
        <f>VLOOKUP(Tableau1[[#This Row],[Type]],LISTES!$A$2:$O$61,2,0)</f>
        <v>#N/A</v>
      </c>
      <c r="F315" s="136">
        <f>NETWORKDAYS.INTL(C315,D315,11,CALENDRIER!AF311:AF322)</f>
        <v>1</v>
      </c>
      <c r="G315" s="134"/>
      <c r="H315" s="137">
        <f>Tableau1[[#This Row],[Date début]]</f>
        <v>0</v>
      </c>
    </row>
    <row r="316" spans="1:8">
      <c r="A316" s="133" t="s">
        <v>181</v>
      </c>
      <c r="C316" s="134"/>
      <c r="D316" s="134">
        <f>Tableau1[[#This Row],[Date début]]</f>
        <v>0</v>
      </c>
      <c r="E316" s="136" t="e">
        <f>VLOOKUP(Tableau1[[#This Row],[Type]],LISTES!$A$2:$O$61,2,0)</f>
        <v>#N/A</v>
      </c>
      <c r="F316" s="136">
        <f>NETWORKDAYS.INTL(C316,D316,11,CALENDRIER!AF312:AF323)</f>
        <v>1</v>
      </c>
      <c r="G316" s="134"/>
      <c r="H316" s="137">
        <f>Tableau1[[#This Row],[Date début]]</f>
        <v>0</v>
      </c>
    </row>
    <row r="317" spans="1:8">
      <c r="A317" s="133" t="s">
        <v>181</v>
      </c>
      <c r="C317" s="134"/>
      <c r="D317" s="134">
        <f>Tableau1[[#This Row],[Date début]]</f>
        <v>0</v>
      </c>
      <c r="E317" s="136" t="e">
        <f>VLOOKUP(Tableau1[[#This Row],[Type]],LISTES!$A$2:$O$61,2,0)</f>
        <v>#N/A</v>
      </c>
      <c r="F317" s="136">
        <f>NETWORKDAYS.INTL(C317,D317,11,CALENDRIER!AF313:AF324)</f>
        <v>1</v>
      </c>
      <c r="G317" s="134"/>
      <c r="H317" s="137">
        <f>Tableau1[[#This Row],[Date début]]</f>
        <v>0</v>
      </c>
    </row>
    <row r="318" spans="1:8">
      <c r="A318" s="133" t="s">
        <v>181</v>
      </c>
      <c r="C318" s="134"/>
      <c r="D318" s="134">
        <f>Tableau1[[#This Row],[Date début]]</f>
        <v>0</v>
      </c>
      <c r="E318" s="136" t="e">
        <f>VLOOKUP(Tableau1[[#This Row],[Type]],LISTES!$A$2:$O$61,2,0)</f>
        <v>#N/A</v>
      </c>
      <c r="F318" s="136">
        <f>NETWORKDAYS.INTL(C318,D318,11,CALENDRIER!AF314:AF325)</f>
        <v>1</v>
      </c>
      <c r="G318" s="134"/>
      <c r="H318" s="137">
        <f>Tableau1[[#This Row],[Date début]]</f>
        <v>0</v>
      </c>
    </row>
    <row r="319" spans="1:8">
      <c r="A319" s="133" t="s">
        <v>181</v>
      </c>
      <c r="C319" s="134"/>
      <c r="D319" s="134">
        <f>Tableau1[[#This Row],[Date début]]</f>
        <v>0</v>
      </c>
      <c r="E319" s="136" t="e">
        <f>VLOOKUP(Tableau1[[#This Row],[Type]],LISTES!$A$2:$O$61,2,0)</f>
        <v>#N/A</v>
      </c>
      <c r="F319" s="136">
        <f>NETWORKDAYS.INTL(C319,D319,11,CALENDRIER!AF315:AF326)</f>
        <v>1</v>
      </c>
      <c r="G319" s="134"/>
      <c r="H319" s="137">
        <f>Tableau1[[#This Row],[Date début]]</f>
        <v>0</v>
      </c>
    </row>
    <row r="320" spans="1:8">
      <c r="A320" s="133" t="s">
        <v>181</v>
      </c>
      <c r="C320" s="134"/>
      <c r="D320" s="134">
        <f>Tableau1[[#This Row],[Date début]]</f>
        <v>0</v>
      </c>
      <c r="E320" s="136" t="e">
        <f>VLOOKUP(Tableau1[[#This Row],[Type]],LISTES!$A$2:$O$61,2,0)</f>
        <v>#N/A</v>
      </c>
      <c r="F320" s="136">
        <f>NETWORKDAYS.INTL(C320,D320,11,CALENDRIER!AF316:AF327)</f>
        <v>1</v>
      </c>
      <c r="G320" s="134"/>
      <c r="H320" s="137">
        <f>Tableau1[[#This Row],[Date début]]</f>
        <v>0</v>
      </c>
    </row>
    <row r="321" spans="1:8">
      <c r="A321" s="133" t="s">
        <v>181</v>
      </c>
      <c r="C321" s="134"/>
      <c r="D321" s="134">
        <f>Tableau1[[#This Row],[Date début]]</f>
        <v>0</v>
      </c>
      <c r="E321" s="136" t="e">
        <f>VLOOKUP(Tableau1[[#This Row],[Type]],LISTES!$A$2:$O$61,2,0)</f>
        <v>#N/A</v>
      </c>
      <c r="F321" s="136">
        <f>NETWORKDAYS.INTL(C321,D321,11,CALENDRIER!AF317:AF328)</f>
        <v>1</v>
      </c>
      <c r="G321" s="134"/>
      <c r="H321" s="137">
        <f>Tableau1[[#This Row],[Date début]]</f>
        <v>0</v>
      </c>
    </row>
    <row r="322" spans="1:8">
      <c r="A322" s="133" t="s">
        <v>181</v>
      </c>
      <c r="C322" s="134"/>
      <c r="D322" s="134">
        <f>Tableau1[[#This Row],[Date début]]</f>
        <v>0</v>
      </c>
      <c r="E322" s="136" t="e">
        <f>VLOOKUP(Tableau1[[#This Row],[Type]],LISTES!$A$2:$O$61,2,0)</f>
        <v>#N/A</v>
      </c>
      <c r="F322" s="136">
        <f>NETWORKDAYS.INTL(C322,D322,11,CALENDRIER!AF318:AF329)</f>
        <v>1</v>
      </c>
      <c r="G322" s="134"/>
      <c r="H322" s="137">
        <f>Tableau1[[#This Row],[Date début]]</f>
        <v>0</v>
      </c>
    </row>
    <row r="323" spans="1:8">
      <c r="A323" s="133" t="s">
        <v>181</v>
      </c>
      <c r="C323" s="134"/>
      <c r="D323" s="134">
        <f>Tableau1[[#This Row],[Date début]]</f>
        <v>0</v>
      </c>
      <c r="E323" s="136" t="e">
        <f>VLOOKUP(Tableau1[[#This Row],[Type]],LISTES!$A$2:$O$61,2,0)</f>
        <v>#N/A</v>
      </c>
      <c r="F323" s="136">
        <f>NETWORKDAYS.INTL(C323,D323,11,CALENDRIER!AF319:AF330)</f>
        <v>1</v>
      </c>
      <c r="G323" s="134"/>
      <c r="H323" s="137">
        <f>Tableau1[[#This Row],[Date début]]</f>
        <v>0</v>
      </c>
    </row>
    <row r="324" spans="1:8">
      <c r="A324" s="133" t="s">
        <v>181</v>
      </c>
      <c r="C324" s="134"/>
      <c r="D324" s="134">
        <f>Tableau1[[#This Row],[Date début]]</f>
        <v>0</v>
      </c>
      <c r="E324" s="136" t="e">
        <f>VLOOKUP(Tableau1[[#This Row],[Type]],LISTES!$A$2:$O$61,2,0)</f>
        <v>#N/A</v>
      </c>
      <c r="F324" s="136">
        <f>NETWORKDAYS.INTL(C324,D324,11,CALENDRIER!AF320:AF331)</f>
        <v>1</v>
      </c>
      <c r="G324" s="134"/>
      <c r="H324" s="137">
        <f>Tableau1[[#This Row],[Date début]]</f>
        <v>0</v>
      </c>
    </row>
    <row r="325" spans="1:8">
      <c r="A325" s="133" t="s">
        <v>181</v>
      </c>
      <c r="C325" s="134"/>
      <c r="D325" s="134">
        <f>Tableau1[[#This Row],[Date début]]</f>
        <v>0</v>
      </c>
      <c r="E325" s="136" t="e">
        <f>VLOOKUP(Tableau1[[#This Row],[Type]],LISTES!$A$2:$O$61,2,0)</f>
        <v>#N/A</v>
      </c>
      <c r="F325" s="136">
        <f>NETWORKDAYS.INTL(C325,D325,11,CALENDRIER!AF321:AF332)</f>
        <v>1</v>
      </c>
      <c r="G325" s="134"/>
      <c r="H325" s="137">
        <f>Tableau1[[#This Row],[Date début]]</f>
        <v>0</v>
      </c>
    </row>
    <row r="326" spans="1:8">
      <c r="A326" s="133" t="s">
        <v>181</v>
      </c>
      <c r="C326" s="134"/>
      <c r="D326" s="134">
        <f>Tableau1[[#This Row],[Date début]]</f>
        <v>0</v>
      </c>
      <c r="E326" s="136" t="e">
        <f>VLOOKUP(Tableau1[[#This Row],[Type]],LISTES!$A$2:$O$61,2,0)</f>
        <v>#N/A</v>
      </c>
      <c r="F326" s="136">
        <f>NETWORKDAYS.INTL(C326,D326,11,CALENDRIER!AF322:AF333)</f>
        <v>1</v>
      </c>
      <c r="G326" s="134"/>
      <c r="H326" s="137">
        <f>Tableau1[[#This Row],[Date début]]</f>
        <v>0</v>
      </c>
    </row>
    <row r="327" spans="1:8">
      <c r="A327" s="133" t="s">
        <v>181</v>
      </c>
      <c r="C327" s="134"/>
      <c r="D327" s="134">
        <f>Tableau1[[#This Row],[Date début]]</f>
        <v>0</v>
      </c>
      <c r="E327" s="136" t="e">
        <f>VLOOKUP(Tableau1[[#This Row],[Type]],LISTES!$A$2:$O$61,2,0)</f>
        <v>#N/A</v>
      </c>
      <c r="F327" s="136">
        <f>NETWORKDAYS.INTL(C327,D327,11,CALENDRIER!AF323:AF334)</f>
        <v>1</v>
      </c>
      <c r="G327" s="134"/>
      <c r="H327" s="137">
        <f>Tableau1[[#This Row],[Date début]]</f>
        <v>0</v>
      </c>
    </row>
    <row r="328" spans="1:8">
      <c r="A328" s="133" t="s">
        <v>181</v>
      </c>
      <c r="C328" s="134"/>
      <c r="D328" s="134">
        <f>Tableau1[[#This Row],[Date début]]</f>
        <v>0</v>
      </c>
      <c r="E328" s="136" t="e">
        <f>VLOOKUP(Tableau1[[#This Row],[Type]],LISTES!$A$2:$O$61,2,0)</f>
        <v>#N/A</v>
      </c>
      <c r="F328" s="136">
        <f>NETWORKDAYS.INTL(C328,D328,11,CALENDRIER!AF324:AF335)</f>
        <v>1</v>
      </c>
      <c r="G328" s="134"/>
      <c r="H328" s="137">
        <f>Tableau1[[#This Row],[Date début]]</f>
        <v>0</v>
      </c>
    </row>
    <row r="329" spans="1:8">
      <c r="A329" s="133" t="s">
        <v>181</v>
      </c>
      <c r="C329" s="134"/>
      <c r="D329" s="134">
        <f>Tableau1[[#This Row],[Date début]]</f>
        <v>0</v>
      </c>
      <c r="E329" s="136" t="e">
        <f>VLOOKUP(Tableau1[[#This Row],[Type]],LISTES!$A$2:$O$61,2,0)</f>
        <v>#N/A</v>
      </c>
      <c r="F329" s="136">
        <f>NETWORKDAYS.INTL(C329,D329,11,CALENDRIER!AF325:AF336)</f>
        <v>1</v>
      </c>
      <c r="G329" s="134"/>
      <c r="H329" s="137">
        <f>Tableau1[[#This Row],[Date début]]</f>
        <v>0</v>
      </c>
    </row>
    <row r="330" spans="1:8">
      <c r="A330" s="133" t="s">
        <v>181</v>
      </c>
      <c r="C330" s="134"/>
      <c r="D330" s="134">
        <f>Tableau1[[#This Row],[Date début]]</f>
        <v>0</v>
      </c>
      <c r="E330" s="136" t="e">
        <f>VLOOKUP(Tableau1[[#This Row],[Type]],LISTES!$A$2:$O$61,2,0)</f>
        <v>#N/A</v>
      </c>
      <c r="F330" s="136">
        <f>NETWORKDAYS.INTL(C330,D330,11,CALENDRIER!AF326:AF337)</f>
        <v>1</v>
      </c>
      <c r="G330" s="134"/>
      <c r="H330" s="137">
        <f>Tableau1[[#This Row],[Date début]]</f>
        <v>0</v>
      </c>
    </row>
    <row r="331" spans="1:8">
      <c r="A331" s="133" t="s">
        <v>181</v>
      </c>
      <c r="C331" s="134"/>
      <c r="D331" s="134">
        <f>Tableau1[[#This Row],[Date début]]</f>
        <v>0</v>
      </c>
      <c r="E331" s="136" t="e">
        <f>VLOOKUP(Tableau1[[#This Row],[Type]],LISTES!$A$2:$O$61,2,0)</f>
        <v>#N/A</v>
      </c>
      <c r="F331" s="136">
        <f>NETWORKDAYS.INTL(C331,D331,11,CALENDRIER!AF327:AF338)</f>
        <v>1</v>
      </c>
      <c r="G331" s="134"/>
      <c r="H331" s="137">
        <f>Tableau1[[#This Row],[Date début]]</f>
        <v>0</v>
      </c>
    </row>
    <row r="332" spans="1:8">
      <c r="A332" s="133" t="s">
        <v>181</v>
      </c>
      <c r="C332" s="134"/>
      <c r="D332" s="134">
        <f>Tableau1[[#This Row],[Date début]]</f>
        <v>0</v>
      </c>
      <c r="E332" s="136" t="e">
        <f>VLOOKUP(Tableau1[[#This Row],[Type]],LISTES!$A$2:$O$61,2,0)</f>
        <v>#N/A</v>
      </c>
      <c r="F332" s="136">
        <f>NETWORKDAYS.INTL(C332,D332,11,CALENDRIER!AF328:AF339)</f>
        <v>1</v>
      </c>
      <c r="G332" s="134"/>
      <c r="H332" s="137">
        <f>Tableau1[[#This Row],[Date début]]</f>
        <v>0</v>
      </c>
    </row>
    <row r="333" spans="1:8">
      <c r="A333" s="133" t="s">
        <v>181</v>
      </c>
      <c r="C333" s="134"/>
      <c r="D333" s="134">
        <f>Tableau1[[#This Row],[Date début]]</f>
        <v>0</v>
      </c>
      <c r="E333" s="136" t="e">
        <f>VLOOKUP(Tableau1[[#This Row],[Type]],LISTES!$A$2:$O$61,2,0)</f>
        <v>#N/A</v>
      </c>
      <c r="F333" s="136">
        <f>NETWORKDAYS.INTL(C333,D333,11,CALENDRIER!AF329:AF340)</f>
        <v>1</v>
      </c>
      <c r="G333" s="134"/>
      <c r="H333" s="137">
        <f>Tableau1[[#This Row],[Date début]]</f>
        <v>0</v>
      </c>
    </row>
    <row r="334" spans="1:8">
      <c r="A334" s="133" t="s">
        <v>181</v>
      </c>
      <c r="C334" s="134"/>
      <c r="D334" s="134">
        <f>Tableau1[[#This Row],[Date début]]</f>
        <v>0</v>
      </c>
      <c r="E334" s="136" t="e">
        <f>VLOOKUP(Tableau1[[#This Row],[Type]],LISTES!$A$2:$O$61,2,0)</f>
        <v>#N/A</v>
      </c>
      <c r="F334" s="136">
        <f>NETWORKDAYS.INTL(C334,D334,11,CALENDRIER!AF330:AF341)</f>
        <v>1</v>
      </c>
      <c r="G334" s="134"/>
      <c r="H334" s="137">
        <f>Tableau1[[#This Row],[Date début]]</f>
        <v>0</v>
      </c>
    </row>
    <row r="335" spans="1:8">
      <c r="A335" s="133" t="s">
        <v>181</v>
      </c>
      <c r="C335" s="134"/>
      <c r="D335" s="134">
        <f>Tableau1[[#This Row],[Date début]]</f>
        <v>0</v>
      </c>
      <c r="E335" s="136" t="e">
        <f>VLOOKUP(Tableau1[[#This Row],[Type]],LISTES!$A$2:$O$61,2,0)</f>
        <v>#N/A</v>
      </c>
      <c r="F335" s="136">
        <f>NETWORKDAYS.INTL(C335,D335,11,CALENDRIER!AF331:AF342)</f>
        <v>1</v>
      </c>
      <c r="G335" s="134"/>
      <c r="H335" s="137">
        <f>Tableau1[[#This Row],[Date début]]</f>
        <v>0</v>
      </c>
    </row>
    <row r="336" spans="1:8">
      <c r="A336" s="133" t="s">
        <v>181</v>
      </c>
      <c r="C336" s="134"/>
      <c r="D336" s="134">
        <f>Tableau1[[#This Row],[Date début]]</f>
        <v>0</v>
      </c>
      <c r="E336" s="136" t="e">
        <f>VLOOKUP(Tableau1[[#This Row],[Type]],LISTES!$A$2:$O$61,2,0)</f>
        <v>#N/A</v>
      </c>
      <c r="F336" s="136">
        <f>NETWORKDAYS.INTL(C336,D336,11,CALENDRIER!AF332:AF343)</f>
        <v>1</v>
      </c>
      <c r="G336" s="134"/>
      <c r="H336" s="137">
        <f>Tableau1[[#This Row],[Date début]]</f>
        <v>0</v>
      </c>
    </row>
    <row r="337" spans="1:8">
      <c r="A337" s="133" t="s">
        <v>181</v>
      </c>
      <c r="C337" s="134"/>
      <c r="D337" s="134">
        <f>Tableau1[[#This Row],[Date début]]</f>
        <v>0</v>
      </c>
      <c r="E337" s="136" t="e">
        <f>VLOOKUP(Tableau1[[#This Row],[Type]],LISTES!$A$2:$O$61,2,0)</f>
        <v>#N/A</v>
      </c>
      <c r="F337" s="136">
        <f>NETWORKDAYS.INTL(C337,D337,11,CALENDRIER!AF333:AF344)</f>
        <v>1</v>
      </c>
      <c r="G337" s="134"/>
      <c r="H337" s="137">
        <f>Tableau1[[#This Row],[Date début]]</f>
        <v>0</v>
      </c>
    </row>
    <row r="338" spans="1:8">
      <c r="A338" s="133" t="s">
        <v>181</v>
      </c>
      <c r="C338" s="134"/>
      <c r="D338" s="134">
        <f>Tableau1[[#This Row],[Date début]]</f>
        <v>0</v>
      </c>
      <c r="E338" s="136" t="e">
        <f>VLOOKUP(Tableau1[[#This Row],[Type]],LISTES!$A$2:$O$61,2,0)</f>
        <v>#N/A</v>
      </c>
      <c r="F338" s="136">
        <f>NETWORKDAYS.INTL(C338,D338,11,CALENDRIER!AF334:AF345)</f>
        <v>1</v>
      </c>
      <c r="G338" s="134"/>
      <c r="H338" s="137">
        <f>Tableau1[[#This Row],[Date début]]</f>
        <v>0</v>
      </c>
    </row>
    <row r="339" spans="1:8">
      <c r="A339" s="133" t="s">
        <v>181</v>
      </c>
      <c r="C339" s="134"/>
      <c r="D339" s="134">
        <f>Tableau1[[#This Row],[Date début]]</f>
        <v>0</v>
      </c>
      <c r="E339" s="136" t="e">
        <f>VLOOKUP(Tableau1[[#This Row],[Type]],LISTES!$A$2:$O$61,2,0)</f>
        <v>#N/A</v>
      </c>
      <c r="F339" s="136">
        <f>NETWORKDAYS.INTL(C339,D339,11,CALENDRIER!AF335:AF346)</f>
        <v>1</v>
      </c>
      <c r="G339" s="134"/>
      <c r="H339" s="137">
        <f>Tableau1[[#This Row],[Date début]]</f>
        <v>0</v>
      </c>
    </row>
    <row r="340" spans="1:8">
      <c r="A340" s="133" t="s">
        <v>181</v>
      </c>
      <c r="C340" s="134"/>
      <c r="D340" s="134">
        <f>Tableau1[[#This Row],[Date début]]</f>
        <v>0</v>
      </c>
      <c r="E340" s="136" t="e">
        <f>VLOOKUP(Tableau1[[#This Row],[Type]],LISTES!$A$2:$O$61,2,0)</f>
        <v>#N/A</v>
      </c>
      <c r="F340" s="136">
        <f>NETWORKDAYS.INTL(C340,D340,11,CALENDRIER!AF336:AF347)</f>
        <v>1</v>
      </c>
      <c r="G340" s="134"/>
      <c r="H340" s="137">
        <f>Tableau1[[#This Row],[Date début]]</f>
        <v>0</v>
      </c>
    </row>
    <row r="341" spans="1:8">
      <c r="A341" s="133" t="s">
        <v>181</v>
      </c>
      <c r="C341" s="134"/>
      <c r="D341" s="134">
        <f>Tableau1[[#This Row],[Date début]]</f>
        <v>0</v>
      </c>
      <c r="E341" s="136" t="e">
        <f>VLOOKUP(Tableau1[[#This Row],[Type]],LISTES!$A$2:$O$61,2,0)</f>
        <v>#N/A</v>
      </c>
      <c r="F341" s="136">
        <f>NETWORKDAYS.INTL(C341,D341,11,CALENDRIER!AF337:AF348)</f>
        <v>1</v>
      </c>
      <c r="G341" s="134"/>
      <c r="H341" s="137">
        <f>Tableau1[[#This Row],[Date début]]</f>
        <v>0</v>
      </c>
    </row>
    <row r="342" spans="1:8">
      <c r="A342" s="133" t="s">
        <v>181</v>
      </c>
      <c r="C342" s="134"/>
      <c r="D342" s="134">
        <f>Tableau1[[#This Row],[Date début]]</f>
        <v>0</v>
      </c>
      <c r="E342" s="136" t="e">
        <f>VLOOKUP(Tableau1[[#This Row],[Type]],LISTES!$A$2:$O$61,2,0)</f>
        <v>#N/A</v>
      </c>
      <c r="F342" s="136">
        <f>NETWORKDAYS.INTL(C342,D342,11,CALENDRIER!AF338:AF349)</f>
        <v>1</v>
      </c>
      <c r="G342" s="134"/>
      <c r="H342" s="137">
        <f>Tableau1[[#This Row],[Date début]]</f>
        <v>0</v>
      </c>
    </row>
    <row r="343" spans="1:8">
      <c r="A343" s="133" t="s">
        <v>181</v>
      </c>
      <c r="C343" s="134"/>
      <c r="D343" s="134">
        <f>Tableau1[[#This Row],[Date début]]</f>
        <v>0</v>
      </c>
      <c r="E343" s="136" t="e">
        <f>VLOOKUP(Tableau1[[#This Row],[Type]],LISTES!$A$2:$O$61,2,0)</f>
        <v>#N/A</v>
      </c>
      <c r="F343" s="136">
        <f>NETWORKDAYS.INTL(C343,D343,11,CALENDRIER!AF339:AF350)</f>
        <v>1</v>
      </c>
      <c r="G343" s="134"/>
      <c r="H343" s="137">
        <f>Tableau1[[#This Row],[Date début]]</f>
        <v>0</v>
      </c>
    </row>
    <row r="344" spans="1:8">
      <c r="A344" s="133" t="s">
        <v>181</v>
      </c>
      <c r="C344" s="134"/>
      <c r="D344" s="134">
        <f>Tableau1[[#This Row],[Date début]]</f>
        <v>0</v>
      </c>
      <c r="E344" s="136" t="e">
        <f>VLOOKUP(Tableau1[[#This Row],[Type]],LISTES!$A$2:$O$61,2,0)</f>
        <v>#N/A</v>
      </c>
      <c r="F344" s="136">
        <f>NETWORKDAYS.INTL(C344,D344,11,CALENDRIER!AF340:AF351)</f>
        <v>1</v>
      </c>
      <c r="G344" s="134"/>
      <c r="H344" s="137">
        <f>Tableau1[[#This Row],[Date début]]</f>
        <v>0</v>
      </c>
    </row>
    <row r="345" spans="1:8">
      <c r="A345" s="133" t="s">
        <v>181</v>
      </c>
      <c r="C345" s="134"/>
      <c r="D345" s="134">
        <f>Tableau1[[#This Row],[Date début]]</f>
        <v>0</v>
      </c>
      <c r="E345" s="136" t="e">
        <f>VLOOKUP(Tableau1[[#This Row],[Type]],LISTES!$A$2:$O$61,2,0)</f>
        <v>#N/A</v>
      </c>
      <c r="F345" s="136">
        <f>NETWORKDAYS.INTL(C345,D345,11,CALENDRIER!AF341:AF352)</f>
        <v>1</v>
      </c>
      <c r="G345" s="134"/>
      <c r="H345" s="137">
        <f>Tableau1[[#This Row],[Date début]]</f>
        <v>0</v>
      </c>
    </row>
    <row r="346" spans="1:8">
      <c r="A346" s="133" t="s">
        <v>181</v>
      </c>
      <c r="C346" s="134"/>
      <c r="D346" s="134">
        <f>Tableau1[[#This Row],[Date début]]</f>
        <v>0</v>
      </c>
      <c r="E346" s="136" t="e">
        <f>VLOOKUP(Tableau1[[#This Row],[Type]],LISTES!$A$2:$O$61,2,0)</f>
        <v>#N/A</v>
      </c>
      <c r="F346" s="136">
        <f>NETWORKDAYS.INTL(C346,D346,11,CALENDRIER!AF342:AF353)</f>
        <v>1</v>
      </c>
      <c r="G346" s="134"/>
      <c r="H346" s="137">
        <f>Tableau1[[#This Row],[Date début]]</f>
        <v>0</v>
      </c>
    </row>
    <row r="347" spans="1:8">
      <c r="A347" s="133" t="s">
        <v>181</v>
      </c>
      <c r="C347" s="134"/>
      <c r="D347" s="134">
        <f>Tableau1[[#This Row],[Date début]]</f>
        <v>0</v>
      </c>
      <c r="E347" s="136" t="e">
        <f>VLOOKUP(Tableau1[[#This Row],[Type]],LISTES!$A$2:$O$61,2,0)</f>
        <v>#N/A</v>
      </c>
      <c r="F347" s="136">
        <f>NETWORKDAYS.INTL(C347,D347,11,CALENDRIER!AF343:AF354)</f>
        <v>1</v>
      </c>
      <c r="G347" s="134"/>
      <c r="H347" s="137">
        <f>Tableau1[[#This Row],[Date début]]</f>
        <v>0</v>
      </c>
    </row>
    <row r="348" spans="1:8">
      <c r="A348" s="133" t="s">
        <v>181</v>
      </c>
      <c r="C348" s="134"/>
      <c r="D348" s="134">
        <f>Tableau1[[#This Row],[Date début]]</f>
        <v>0</v>
      </c>
      <c r="E348" s="136" t="e">
        <f>VLOOKUP(Tableau1[[#This Row],[Type]],LISTES!$A$2:$O$61,2,0)</f>
        <v>#N/A</v>
      </c>
      <c r="F348" s="136">
        <f>NETWORKDAYS.INTL(C348,D348,11,CALENDRIER!AF344:AF355)</f>
        <v>1</v>
      </c>
      <c r="G348" s="134"/>
      <c r="H348" s="137">
        <f>Tableau1[[#This Row],[Date début]]</f>
        <v>0</v>
      </c>
    </row>
    <row r="349" spans="1:8">
      <c r="A349" s="133" t="s">
        <v>181</v>
      </c>
      <c r="C349" s="134"/>
      <c r="D349" s="134">
        <f>Tableau1[[#This Row],[Date début]]</f>
        <v>0</v>
      </c>
      <c r="E349" s="136" t="e">
        <f>VLOOKUP(Tableau1[[#This Row],[Type]],LISTES!$A$2:$O$61,2,0)</f>
        <v>#N/A</v>
      </c>
      <c r="F349" s="136">
        <f>NETWORKDAYS.INTL(C349,D349,11,CALENDRIER!AF345:AF356)</f>
        <v>1</v>
      </c>
      <c r="G349" s="134"/>
      <c r="H349" s="137">
        <f>Tableau1[[#This Row],[Date début]]</f>
        <v>0</v>
      </c>
    </row>
    <row r="350" spans="1:8">
      <c r="A350" s="133" t="s">
        <v>181</v>
      </c>
      <c r="C350" s="134"/>
      <c r="D350" s="134">
        <f>Tableau1[[#This Row],[Date début]]</f>
        <v>0</v>
      </c>
      <c r="E350" s="136" t="e">
        <f>VLOOKUP(Tableau1[[#This Row],[Type]],LISTES!$A$2:$O$61,2,0)</f>
        <v>#N/A</v>
      </c>
      <c r="F350" s="136">
        <f>NETWORKDAYS.INTL(C350,D350,11,CALENDRIER!AF346:AF357)</f>
        <v>1</v>
      </c>
      <c r="G350" s="134"/>
      <c r="H350" s="137">
        <f>Tableau1[[#This Row],[Date début]]</f>
        <v>0</v>
      </c>
    </row>
    <row r="351" spans="1:8">
      <c r="A351" s="133" t="s">
        <v>181</v>
      </c>
      <c r="C351" s="134"/>
      <c r="D351" s="134">
        <f>Tableau1[[#This Row],[Date début]]</f>
        <v>0</v>
      </c>
      <c r="E351" s="136" t="e">
        <f>VLOOKUP(Tableau1[[#This Row],[Type]],LISTES!$A$2:$O$61,2,0)</f>
        <v>#N/A</v>
      </c>
      <c r="F351" s="136">
        <f>NETWORKDAYS.INTL(C351,D351,11,CALENDRIER!AF347:AF358)</f>
        <v>1</v>
      </c>
      <c r="G351" s="134"/>
      <c r="H351" s="137">
        <f>Tableau1[[#This Row],[Date début]]</f>
        <v>0</v>
      </c>
    </row>
    <row r="352" spans="1:8">
      <c r="A352" s="133" t="s">
        <v>181</v>
      </c>
      <c r="C352" s="134"/>
      <c r="D352" s="134">
        <f>Tableau1[[#This Row],[Date début]]</f>
        <v>0</v>
      </c>
      <c r="E352" s="136" t="e">
        <f>VLOOKUP(Tableau1[[#This Row],[Type]],LISTES!$A$2:$O$61,2,0)</f>
        <v>#N/A</v>
      </c>
      <c r="F352" s="136">
        <f>NETWORKDAYS.INTL(C352,D352,11,CALENDRIER!AF348:AF359)</f>
        <v>1</v>
      </c>
      <c r="G352" s="134"/>
      <c r="H352" s="137">
        <f>Tableau1[[#This Row],[Date début]]</f>
        <v>0</v>
      </c>
    </row>
    <row r="353" spans="1:8">
      <c r="A353" s="133" t="s">
        <v>181</v>
      </c>
      <c r="C353" s="134"/>
      <c r="D353" s="134">
        <f>Tableau1[[#This Row],[Date début]]</f>
        <v>0</v>
      </c>
      <c r="E353" s="136" t="e">
        <f>VLOOKUP(Tableau1[[#This Row],[Type]],LISTES!$A$2:$O$61,2,0)</f>
        <v>#N/A</v>
      </c>
      <c r="F353" s="136">
        <f>NETWORKDAYS.INTL(C353,D353,11,CALENDRIER!AF349:AF360)</f>
        <v>1</v>
      </c>
      <c r="G353" s="134"/>
      <c r="H353" s="137">
        <f>Tableau1[[#This Row],[Date début]]</f>
        <v>0</v>
      </c>
    </row>
    <row r="354" spans="1:8">
      <c r="A354" s="133" t="s">
        <v>181</v>
      </c>
      <c r="C354" s="134"/>
      <c r="D354" s="134">
        <f>Tableau1[[#This Row],[Date début]]</f>
        <v>0</v>
      </c>
      <c r="E354" s="136" t="e">
        <f>VLOOKUP(Tableau1[[#This Row],[Type]],LISTES!$A$2:$O$61,2,0)</f>
        <v>#N/A</v>
      </c>
      <c r="F354" s="136">
        <f>NETWORKDAYS.INTL(C354,D354,11,CALENDRIER!AF350:AF361)</f>
        <v>1</v>
      </c>
      <c r="G354" s="134"/>
      <c r="H354" s="137">
        <f>Tableau1[[#This Row],[Date début]]</f>
        <v>0</v>
      </c>
    </row>
    <row r="355" spans="1:8">
      <c r="A355" s="133" t="s">
        <v>181</v>
      </c>
      <c r="C355" s="134"/>
      <c r="D355" s="134">
        <f>Tableau1[[#This Row],[Date début]]</f>
        <v>0</v>
      </c>
      <c r="E355" s="136" t="e">
        <f>VLOOKUP(Tableau1[[#This Row],[Type]],LISTES!$A$2:$O$61,2,0)</f>
        <v>#N/A</v>
      </c>
      <c r="F355" s="136">
        <f>NETWORKDAYS.INTL(C355,D355,11,CALENDRIER!AF351:AF362)</f>
        <v>1</v>
      </c>
      <c r="G355" s="134"/>
      <c r="H355" s="137">
        <f>Tableau1[[#This Row],[Date début]]</f>
        <v>0</v>
      </c>
    </row>
    <row r="356" spans="1:8">
      <c r="A356" s="133" t="s">
        <v>181</v>
      </c>
      <c r="C356" s="134"/>
      <c r="D356" s="134">
        <f>Tableau1[[#This Row],[Date début]]</f>
        <v>0</v>
      </c>
      <c r="E356" s="136" t="e">
        <f>VLOOKUP(Tableau1[[#This Row],[Type]],LISTES!$A$2:$O$61,2,0)</f>
        <v>#N/A</v>
      </c>
      <c r="F356" s="136">
        <f>NETWORKDAYS.INTL(C356,D356,11,CALENDRIER!AF352:AF363)</f>
        <v>1</v>
      </c>
      <c r="G356" s="134"/>
      <c r="H356" s="137">
        <f>Tableau1[[#This Row],[Date début]]</f>
        <v>0</v>
      </c>
    </row>
    <row r="357" spans="1:8">
      <c r="A357" s="133" t="s">
        <v>181</v>
      </c>
      <c r="C357" s="134"/>
      <c r="D357" s="134">
        <f>Tableau1[[#This Row],[Date début]]</f>
        <v>0</v>
      </c>
      <c r="E357" s="136" t="e">
        <f>VLOOKUP(Tableau1[[#This Row],[Type]],LISTES!$A$2:$O$61,2,0)</f>
        <v>#N/A</v>
      </c>
      <c r="F357" s="136">
        <f>NETWORKDAYS.INTL(C357,D357,11,CALENDRIER!AF353:AF364)</f>
        <v>1</v>
      </c>
      <c r="G357" s="134"/>
      <c r="H357" s="137">
        <f>Tableau1[[#This Row],[Date début]]</f>
        <v>0</v>
      </c>
    </row>
    <row r="358" spans="1:8">
      <c r="A358" s="133" t="s">
        <v>181</v>
      </c>
      <c r="C358" s="134"/>
      <c r="D358" s="134">
        <f>Tableau1[[#This Row],[Date début]]</f>
        <v>0</v>
      </c>
      <c r="E358" s="136" t="e">
        <f>VLOOKUP(Tableau1[[#This Row],[Type]],LISTES!$A$2:$O$61,2,0)</f>
        <v>#N/A</v>
      </c>
      <c r="F358" s="136">
        <f>NETWORKDAYS.INTL(C358,D358,11,CALENDRIER!AF354:AF365)</f>
        <v>1</v>
      </c>
      <c r="G358" s="134"/>
      <c r="H358" s="137">
        <f>Tableau1[[#This Row],[Date début]]</f>
        <v>0</v>
      </c>
    </row>
    <row r="359" spans="1:8">
      <c r="A359" s="133" t="s">
        <v>181</v>
      </c>
      <c r="C359" s="134"/>
      <c r="D359" s="134">
        <f>Tableau1[[#This Row],[Date début]]</f>
        <v>0</v>
      </c>
      <c r="E359" s="136" t="e">
        <f>VLOOKUP(Tableau1[[#This Row],[Type]],LISTES!$A$2:$O$61,2,0)</f>
        <v>#N/A</v>
      </c>
      <c r="F359" s="136">
        <f>NETWORKDAYS.INTL(C359,D359,11,CALENDRIER!AF355:AF366)</f>
        <v>1</v>
      </c>
      <c r="G359" s="134"/>
      <c r="H359" s="137">
        <f>Tableau1[[#This Row],[Date début]]</f>
        <v>0</v>
      </c>
    </row>
    <row r="360" spans="1:8">
      <c r="A360" s="133" t="s">
        <v>181</v>
      </c>
      <c r="C360" s="134"/>
      <c r="D360" s="134">
        <f>Tableau1[[#This Row],[Date début]]</f>
        <v>0</v>
      </c>
      <c r="E360" s="136" t="e">
        <f>VLOOKUP(Tableau1[[#This Row],[Type]],LISTES!$A$2:$O$61,2,0)</f>
        <v>#N/A</v>
      </c>
      <c r="F360" s="136">
        <f>NETWORKDAYS.INTL(C360,D360,11,CALENDRIER!AF356:AF367)</f>
        <v>1</v>
      </c>
      <c r="G360" s="134"/>
      <c r="H360" s="137">
        <f>Tableau1[[#This Row],[Date début]]</f>
        <v>0</v>
      </c>
    </row>
    <row r="361" spans="1:8">
      <c r="A361" s="133" t="s">
        <v>181</v>
      </c>
      <c r="C361" s="134"/>
      <c r="D361" s="134">
        <f>Tableau1[[#This Row],[Date début]]</f>
        <v>0</v>
      </c>
      <c r="E361" s="136" t="e">
        <f>VLOOKUP(Tableau1[[#This Row],[Type]],LISTES!$A$2:$O$61,2,0)</f>
        <v>#N/A</v>
      </c>
      <c r="F361" s="136">
        <f>NETWORKDAYS.INTL(C361,D361,11,CALENDRIER!AF357:AF368)</f>
        <v>1</v>
      </c>
      <c r="G361" s="134"/>
      <c r="H361" s="137">
        <f>Tableau1[[#This Row],[Date début]]</f>
        <v>0</v>
      </c>
    </row>
    <row r="362" spans="1:8">
      <c r="A362" s="133" t="s">
        <v>181</v>
      </c>
      <c r="C362" s="134"/>
      <c r="D362" s="134">
        <f>Tableau1[[#This Row],[Date début]]</f>
        <v>0</v>
      </c>
      <c r="E362" s="136" t="e">
        <f>VLOOKUP(Tableau1[[#This Row],[Type]],LISTES!$A$2:$O$61,2,0)</f>
        <v>#N/A</v>
      </c>
      <c r="F362" s="136">
        <f>NETWORKDAYS.INTL(C362,D362,11,CALENDRIER!AF358:AF369)</f>
        <v>1</v>
      </c>
      <c r="G362" s="134"/>
      <c r="H362" s="137">
        <f>Tableau1[[#This Row],[Date début]]</f>
        <v>0</v>
      </c>
    </row>
    <row r="363" spans="1:8">
      <c r="A363" s="133" t="s">
        <v>181</v>
      </c>
      <c r="C363" s="134"/>
      <c r="D363" s="134">
        <f>Tableau1[[#This Row],[Date début]]</f>
        <v>0</v>
      </c>
      <c r="E363" s="136" t="e">
        <f>VLOOKUP(Tableau1[[#This Row],[Type]],LISTES!$A$2:$O$61,2,0)</f>
        <v>#N/A</v>
      </c>
      <c r="F363" s="136">
        <f>NETWORKDAYS.INTL(C363,D363,11,CALENDRIER!AF359:AF370)</f>
        <v>1</v>
      </c>
      <c r="G363" s="134"/>
      <c r="H363" s="137">
        <f>Tableau1[[#This Row],[Date début]]</f>
        <v>0</v>
      </c>
    </row>
    <row r="364" spans="1:8">
      <c r="A364" s="133" t="s">
        <v>181</v>
      </c>
      <c r="C364" s="134"/>
      <c r="D364" s="134">
        <f>Tableau1[[#This Row],[Date début]]</f>
        <v>0</v>
      </c>
      <c r="E364" s="136" t="e">
        <f>VLOOKUP(Tableau1[[#This Row],[Type]],LISTES!$A$2:$O$61,2,0)</f>
        <v>#N/A</v>
      </c>
      <c r="F364" s="136">
        <f>NETWORKDAYS.INTL(C364,D364,11,CALENDRIER!AF360:AF371)</f>
        <v>1</v>
      </c>
      <c r="G364" s="134"/>
      <c r="H364" s="137">
        <f>Tableau1[[#This Row],[Date début]]</f>
        <v>0</v>
      </c>
    </row>
    <row r="365" spans="1:8">
      <c r="A365" s="133" t="s">
        <v>181</v>
      </c>
      <c r="C365" s="134"/>
      <c r="D365" s="134">
        <f>Tableau1[[#This Row],[Date début]]</f>
        <v>0</v>
      </c>
      <c r="E365" s="136" t="e">
        <f>VLOOKUP(Tableau1[[#This Row],[Type]],LISTES!$A$2:$O$61,2,0)</f>
        <v>#N/A</v>
      </c>
      <c r="F365" s="136">
        <f>NETWORKDAYS.INTL(C365,D365,11,CALENDRIER!AF361:AF372)</f>
        <v>1</v>
      </c>
      <c r="G365" s="134"/>
      <c r="H365" s="137">
        <f>Tableau1[[#This Row],[Date début]]</f>
        <v>0</v>
      </c>
    </row>
    <row r="366" spans="1:8">
      <c r="A366" s="133" t="s">
        <v>181</v>
      </c>
      <c r="C366" s="134"/>
      <c r="D366" s="134">
        <f>Tableau1[[#This Row],[Date début]]</f>
        <v>0</v>
      </c>
      <c r="E366" s="136" t="e">
        <f>VLOOKUP(Tableau1[[#This Row],[Type]],LISTES!$A$2:$O$61,2,0)</f>
        <v>#N/A</v>
      </c>
      <c r="F366" s="136">
        <f>NETWORKDAYS.INTL(C366,D366,11,CALENDRIER!AF362:AF373)</f>
        <v>1</v>
      </c>
      <c r="G366" s="134"/>
      <c r="H366" s="137">
        <f>Tableau1[[#This Row],[Date début]]</f>
        <v>0</v>
      </c>
    </row>
    <row r="367" spans="1:8">
      <c r="A367" s="133" t="s">
        <v>181</v>
      </c>
      <c r="C367" s="134"/>
      <c r="D367" s="134">
        <f>Tableau1[[#This Row],[Date début]]</f>
        <v>0</v>
      </c>
      <c r="E367" s="136" t="e">
        <f>VLOOKUP(Tableau1[[#This Row],[Type]],LISTES!$A$2:$O$61,2,0)</f>
        <v>#N/A</v>
      </c>
      <c r="F367" s="136">
        <f>NETWORKDAYS.INTL(C367,D367,11,CALENDRIER!AF363:AF374)</f>
        <v>1</v>
      </c>
      <c r="G367" s="134"/>
      <c r="H367" s="137">
        <f>Tableau1[[#This Row],[Date début]]</f>
        <v>0</v>
      </c>
    </row>
    <row r="368" spans="1:8">
      <c r="A368" s="133" t="s">
        <v>181</v>
      </c>
      <c r="C368" s="134"/>
      <c r="D368" s="134">
        <f>Tableau1[[#This Row],[Date début]]</f>
        <v>0</v>
      </c>
      <c r="E368" s="136" t="e">
        <f>VLOOKUP(Tableau1[[#This Row],[Type]],LISTES!$A$2:$O$61,2,0)</f>
        <v>#N/A</v>
      </c>
      <c r="F368" s="136">
        <f>NETWORKDAYS.INTL(C368,D368,11,CALENDRIER!AF364:AF375)</f>
        <v>1</v>
      </c>
      <c r="G368" s="134"/>
      <c r="H368" s="137">
        <f>Tableau1[[#This Row],[Date début]]</f>
        <v>0</v>
      </c>
    </row>
    <row r="369" spans="1:8">
      <c r="A369" s="133" t="s">
        <v>181</v>
      </c>
      <c r="C369" s="134"/>
      <c r="D369" s="134">
        <f>Tableau1[[#This Row],[Date début]]</f>
        <v>0</v>
      </c>
      <c r="E369" s="136" t="e">
        <f>VLOOKUP(Tableau1[[#This Row],[Type]],LISTES!$A$2:$O$61,2,0)</f>
        <v>#N/A</v>
      </c>
      <c r="F369" s="136">
        <f>NETWORKDAYS.INTL(C369,D369,11,CALENDRIER!AF365:AF376)</f>
        <v>1</v>
      </c>
      <c r="G369" s="134"/>
      <c r="H369" s="137">
        <f>Tableau1[[#This Row],[Date début]]</f>
        <v>0</v>
      </c>
    </row>
    <row r="370" spans="1:8">
      <c r="A370" s="133" t="s">
        <v>181</v>
      </c>
      <c r="C370" s="134"/>
      <c r="D370" s="134">
        <f>Tableau1[[#This Row],[Date début]]</f>
        <v>0</v>
      </c>
      <c r="E370" s="136" t="e">
        <f>VLOOKUP(Tableau1[[#This Row],[Type]],LISTES!$A$2:$O$61,2,0)</f>
        <v>#N/A</v>
      </c>
      <c r="F370" s="136">
        <f>NETWORKDAYS.INTL(C370,D370,11,CALENDRIER!AF366:AF377)</f>
        <v>1</v>
      </c>
      <c r="G370" s="134"/>
      <c r="H370" s="137">
        <f>Tableau1[[#This Row],[Date début]]</f>
        <v>0</v>
      </c>
    </row>
    <row r="371" spans="1:8">
      <c r="A371" s="133" t="s">
        <v>181</v>
      </c>
      <c r="C371" s="134"/>
      <c r="D371" s="134">
        <f>Tableau1[[#This Row],[Date début]]</f>
        <v>0</v>
      </c>
      <c r="E371" s="136" t="e">
        <f>VLOOKUP(Tableau1[[#This Row],[Type]],LISTES!$A$2:$O$61,2,0)</f>
        <v>#N/A</v>
      </c>
      <c r="F371" s="136">
        <f>NETWORKDAYS.INTL(C371,D371,11,CALENDRIER!AF367:AF378)</f>
        <v>1</v>
      </c>
      <c r="G371" s="134"/>
      <c r="H371" s="137">
        <f>Tableau1[[#This Row],[Date début]]</f>
        <v>0</v>
      </c>
    </row>
    <row r="372" spans="1:8">
      <c r="A372" s="133" t="s">
        <v>181</v>
      </c>
      <c r="C372" s="134"/>
      <c r="D372" s="134">
        <f>Tableau1[[#This Row],[Date début]]</f>
        <v>0</v>
      </c>
      <c r="E372" s="136" t="e">
        <f>VLOOKUP(Tableau1[[#This Row],[Type]],LISTES!$A$2:$O$61,2,0)</f>
        <v>#N/A</v>
      </c>
      <c r="F372" s="136">
        <f>NETWORKDAYS.INTL(C372,D372,11,CALENDRIER!AF368:AF379)</f>
        <v>1</v>
      </c>
      <c r="G372" s="134"/>
      <c r="H372" s="137">
        <f>Tableau1[[#This Row],[Date début]]</f>
        <v>0</v>
      </c>
    </row>
    <row r="373" spans="1:8">
      <c r="A373" s="133" t="s">
        <v>181</v>
      </c>
      <c r="C373" s="134"/>
      <c r="D373" s="134">
        <f>Tableau1[[#This Row],[Date début]]</f>
        <v>0</v>
      </c>
      <c r="E373" s="136" t="e">
        <f>VLOOKUP(Tableau1[[#This Row],[Type]],LISTES!$A$2:$O$61,2,0)</f>
        <v>#N/A</v>
      </c>
      <c r="F373" s="136">
        <f>NETWORKDAYS.INTL(C373,D373,11,CALENDRIER!AF369:AF380)</f>
        <v>1</v>
      </c>
      <c r="G373" s="134"/>
      <c r="H373" s="137">
        <f>Tableau1[[#This Row],[Date début]]</f>
        <v>0</v>
      </c>
    </row>
    <row r="374" spans="1:8">
      <c r="A374" s="133" t="s">
        <v>181</v>
      </c>
      <c r="C374" s="134"/>
      <c r="D374" s="134">
        <f>Tableau1[[#This Row],[Date début]]</f>
        <v>0</v>
      </c>
      <c r="E374" s="136" t="e">
        <f>VLOOKUP(Tableau1[[#This Row],[Type]],LISTES!$A$2:$O$61,2,0)</f>
        <v>#N/A</v>
      </c>
      <c r="F374" s="136">
        <f>NETWORKDAYS.INTL(C374,D374,11,CALENDRIER!AF370:AF381)</f>
        <v>1</v>
      </c>
      <c r="G374" s="134"/>
      <c r="H374" s="137">
        <f>Tableau1[[#This Row],[Date début]]</f>
        <v>0</v>
      </c>
    </row>
    <row r="375" spans="1:8">
      <c r="A375" s="133" t="s">
        <v>181</v>
      </c>
      <c r="C375" s="134"/>
      <c r="D375" s="134">
        <f>Tableau1[[#This Row],[Date début]]</f>
        <v>0</v>
      </c>
      <c r="E375" s="136" t="e">
        <f>VLOOKUP(Tableau1[[#This Row],[Type]],LISTES!$A$2:$O$61,2,0)</f>
        <v>#N/A</v>
      </c>
      <c r="F375" s="136">
        <f>NETWORKDAYS.INTL(C375,D375,11,CALENDRIER!AF371:AF382)</f>
        <v>1</v>
      </c>
      <c r="G375" s="134"/>
      <c r="H375" s="137">
        <f>Tableau1[[#This Row],[Date début]]</f>
        <v>0</v>
      </c>
    </row>
    <row r="376" spans="1:8">
      <c r="A376" s="133" t="s">
        <v>181</v>
      </c>
      <c r="C376" s="134"/>
      <c r="D376" s="134">
        <f>Tableau1[[#This Row],[Date début]]</f>
        <v>0</v>
      </c>
      <c r="E376" s="136" t="e">
        <f>VLOOKUP(Tableau1[[#This Row],[Type]],LISTES!$A$2:$O$61,2,0)</f>
        <v>#N/A</v>
      </c>
      <c r="F376" s="136">
        <f>NETWORKDAYS.INTL(C376,D376,11,CALENDRIER!AF372:AF383)</f>
        <v>1</v>
      </c>
      <c r="G376" s="134"/>
      <c r="H376" s="137">
        <f>Tableau1[[#This Row],[Date début]]</f>
        <v>0</v>
      </c>
    </row>
    <row r="377" spans="1:8">
      <c r="A377" s="133" t="s">
        <v>181</v>
      </c>
      <c r="C377" s="134"/>
      <c r="D377" s="134">
        <f>Tableau1[[#This Row],[Date début]]</f>
        <v>0</v>
      </c>
      <c r="E377" s="136" t="e">
        <f>VLOOKUP(Tableau1[[#This Row],[Type]],LISTES!$A$2:$O$61,2,0)</f>
        <v>#N/A</v>
      </c>
      <c r="F377" s="136">
        <f>NETWORKDAYS.INTL(C377,D377,11,CALENDRIER!AF373:AF384)</f>
        <v>1</v>
      </c>
      <c r="G377" s="134"/>
      <c r="H377" s="137">
        <f>Tableau1[[#This Row],[Date début]]</f>
        <v>0</v>
      </c>
    </row>
    <row r="378" spans="1:8">
      <c r="A378" s="133" t="s">
        <v>181</v>
      </c>
      <c r="C378" s="134"/>
      <c r="D378" s="134">
        <f>Tableau1[[#This Row],[Date début]]</f>
        <v>0</v>
      </c>
      <c r="E378" s="136" t="e">
        <f>VLOOKUP(Tableau1[[#This Row],[Type]],LISTES!$A$2:$O$61,2,0)</f>
        <v>#N/A</v>
      </c>
      <c r="F378" s="136">
        <f>NETWORKDAYS.INTL(C378,D378,11,CALENDRIER!AF374:AF385)</f>
        <v>1</v>
      </c>
      <c r="G378" s="134"/>
      <c r="H378" s="137">
        <f>Tableau1[[#This Row],[Date début]]</f>
        <v>0</v>
      </c>
    </row>
    <row r="379" spans="1:8">
      <c r="A379" s="133" t="s">
        <v>181</v>
      </c>
      <c r="C379" s="134"/>
      <c r="D379" s="134">
        <f>Tableau1[[#This Row],[Date début]]</f>
        <v>0</v>
      </c>
      <c r="E379" s="136" t="e">
        <f>VLOOKUP(Tableau1[[#This Row],[Type]],LISTES!$A$2:$O$61,2,0)</f>
        <v>#N/A</v>
      </c>
      <c r="F379" s="136">
        <f>NETWORKDAYS.INTL(C379,D379,11,CALENDRIER!AF375:AF386)</f>
        <v>1</v>
      </c>
      <c r="G379" s="134"/>
      <c r="H379" s="137">
        <f>Tableau1[[#This Row],[Date début]]</f>
        <v>0</v>
      </c>
    </row>
    <row r="380" spans="1:8">
      <c r="A380" s="133" t="s">
        <v>181</v>
      </c>
      <c r="C380" s="134"/>
      <c r="D380" s="134">
        <f>Tableau1[[#This Row],[Date début]]</f>
        <v>0</v>
      </c>
      <c r="E380" s="136" t="e">
        <f>VLOOKUP(Tableau1[[#This Row],[Type]],LISTES!$A$2:$O$61,2,0)</f>
        <v>#N/A</v>
      </c>
      <c r="F380" s="136">
        <f>NETWORKDAYS.INTL(C380,D380,11,CALENDRIER!AF376:AF387)</f>
        <v>1</v>
      </c>
      <c r="G380" s="134"/>
      <c r="H380" s="137">
        <f>Tableau1[[#This Row],[Date début]]</f>
        <v>0</v>
      </c>
    </row>
    <row r="381" spans="1:8">
      <c r="A381" s="133" t="s">
        <v>181</v>
      </c>
      <c r="C381" s="134"/>
      <c r="D381" s="134">
        <f>Tableau1[[#This Row],[Date début]]</f>
        <v>0</v>
      </c>
      <c r="E381" s="136" t="e">
        <f>VLOOKUP(Tableau1[[#This Row],[Type]],LISTES!$A$2:$O$61,2,0)</f>
        <v>#N/A</v>
      </c>
      <c r="F381" s="136">
        <f>NETWORKDAYS.INTL(C381,D381,11,CALENDRIER!AF377:AF388)</f>
        <v>1</v>
      </c>
      <c r="G381" s="134"/>
      <c r="H381" s="137">
        <f>Tableau1[[#This Row],[Date début]]</f>
        <v>0</v>
      </c>
    </row>
    <row r="382" spans="1:8">
      <c r="A382" s="133" t="s">
        <v>181</v>
      </c>
      <c r="C382" s="134"/>
      <c r="D382" s="134">
        <f>Tableau1[[#This Row],[Date début]]</f>
        <v>0</v>
      </c>
      <c r="E382" s="136" t="e">
        <f>VLOOKUP(Tableau1[[#This Row],[Type]],LISTES!$A$2:$O$61,2,0)</f>
        <v>#N/A</v>
      </c>
      <c r="F382" s="136">
        <f>NETWORKDAYS.INTL(C382,D382,11,CALENDRIER!AF378:AF389)</f>
        <v>1</v>
      </c>
      <c r="G382" s="134"/>
      <c r="H382" s="137">
        <f>Tableau1[[#This Row],[Date début]]</f>
        <v>0</v>
      </c>
    </row>
    <row r="383" spans="1:8">
      <c r="A383" s="133" t="s">
        <v>181</v>
      </c>
      <c r="C383" s="134"/>
      <c r="D383" s="134">
        <f>Tableau1[[#This Row],[Date début]]</f>
        <v>0</v>
      </c>
      <c r="E383" s="136" t="e">
        <f>VLOOKUP(Tableau1[[#This Row],[Type]],LISTES!$A$2:$O$61,2,0)</f>
        <v>#N/A</v>
      </c>
      <c r="F383" s="136">
        <f>NETWORKDAYS.INTL(C383,D383,11,CALENDRIER!AF379:AF390)</f>
        <v>1</v>
      </c>
      <c r="G383" s="134"/>
      <c r="H383" s="137">
        <f>Tableau1[[#This Row],[Date début]]</f>
        <v>0</v>
      </c>
    </row>
    <row r="384" spans="1:8">
      <c r="A384" s="133" t="s">
        <v>181</v>
      </c>
      <c r="C384" s="134"/>
      <c r="D384" s="134">
        <f>Tableau1[[#This Row],[Date début]]</f>
        <v>0</v>
      </c>
      <c r="E384" s="136" t="e">
        <f>VLOOKUP(Tableau1[[#This Row],[Type]],LISTES!$A$2:$O$61,2,0)</f>
        <v>#N/A</v>
      </c>
      <c r="F384" s="136">
        <f>NETWORKDAYS.INTL(C384,D384,11,CALENDRIER!AF380:AF391)</f>
        <v>1</v>
      </c>
      <c r="G384" s="134"/>
      <c r="H384" s="137">
        <f>Tableau1[[#This Row],[Date début]]</f>
        <v>0</v>
      </c>
    </row>
    <row r="385" spans="1:8">
      <c r="A385" s="133" t="s">
        <v>181</v>
      </c>
      <c r="C385" s="134"/>
      <c r="D385" s="134">
        <f>Tableau1[[#This Row],[Date début]]</f>
        <v>0</v>
      </c>
      <c r="E385" s="136" t="e">
        <f>VLOOKUP(Tableau1[[#This Row],[Type]],LISTES!$A$2:$O$61,2,0)</f>
        <v>#N/A</v>
      </c>
      <c r="F385" s="136">
        <f>NETWORKDAYS.INTL(C385,D385,11,CALENDRIER!AF381:AF392)</f>
        <v>1</v>
      </c>
      <c r="G385" s="134"/>
      <c r="H385" s="137">
        <f>Tableau1[[#This Row],[Date début]]</f>
        <v>0</v>
      </c>
    </row>
    <row r="386" spans="1:8">
      <c r="A386" s="133" t="s">
        <v>181</v>
      </c>
      <c r="C386" s="134"/>
      <c r="D386" s="134">
        <f>Tableau1[[#This Row],[Date début]]</f>
        <v>0</v>
      </c>
      <c r="E386" s="136" t="e">
        <f>VLOOKUP(Tableau1[[#This Row],[Type]],LISTES!$A$2:$O$61,2,0)</f>
        <v>#N/A</v>
      </c>
      <c r="F386" s="136">
        <f>NETWORKDAYS.INTL(C386,D386,11,CALENDRIER!AF382:AF393)</f>
        <v>1</v>
      </c>
      <c r="G386" s="134"/>
      <c r="H386" s="137">
        <f>Tableau1[[#This Row],[Date début]]</f>
        <v>0</v>
      </c>
    </row>
    <row r="387" spans="1:8">
      <c r="A387" s="133" t="s">
        <v>181</v>
      </c>
      <c r="C387" s="134"/>
      <c r="D387" s="134">
        <f>Tableau1[[#This Row],[Date début]]</f>
        <v>0</v>
      </c>
      <c r="E387" s="136" t="e">
        <f>VLOOKUP(Tableau1[[#This Row],[Type]],LISTES!$A$2:$O$61,2,0)</f>
        <v>#N/A</v>
      </c>
      <c r="F387" s="136">
        <f>NETWORKDAYS.INTL(C387,D387,11,CALENDRIER!AF383:AF394)</f>
        <v>1</v>
      </c>
      <c r="G387" s="134"/>
      <c r="H387" s="137">
        <f>Tableau1[[#This Row],[Date début]]</f>
        <v>0</v>
      </c>
    </row>
    <row r="388" spans="1:8">
      <c r="A388" s="133" t="s">
        <v>181</v>
      </c>
      <c r="C388" s="134"/>
      <c r="D388" s="134">
        <f>Tableau1[[#This Row],[Date début]]</f>
        <v>0</v>
      </c>
      <c r="E388" s="136" t="e">
        <f>VLOOKUP(Tableau1[[#This Row],[Type]],LISTES!$A$2:$O$61,2,0)</f>
        <v>#N/A</v>
      </c>
      <c r="F388" s="136">
        <f>NETWORKDAYS.INTL(C388,D388,11,CALENDRIER!AF384:AF395)</f>
        <v>1</v>
      </c>
      <c r="G388" s="134"/>
      <c r="H388" s="137">
        <f>Tableau1[[#This Row],[Date début]]</f>
        <v>0</v>
      </c>
    </row>
    <row r="389" spans="1:8">
      <c r="A389" s="133" t="s">
        <v>181</v>
      </c>
      <c r="C389" s="134"/>
      <c r="D389" s="134">
        <f>Tableau1[[#This Row],[Date début]]</f>
        <v>0</v>
      </c>
      <c r="E389" s="136" t="e">
        <f>VLOOKUP(Tableau1[[#This Row],[Type]],LISTES!$A$2:$O$61,2,0)</f>
        <v>#N/A</v>
      </c>
      <c r="F389" s="136">
        <f>NETWORKDAYS.INTL(C389,D389,11,CALENDRIER!AF385:AF396)</f>
        <v>1</v>
      </c>
      <c r="G389" s="134"/>
      <c r="H389" s="137">
        <f>Tableau1[[#This Row],[Date début]]</f>
        <v>0</v>
      </c>
    </row>
    <row r="390" spans="1:8">
      <c r="A390" s="133" t="s">
        <v>181</v>
      </c>
      <c r="C390" s="134"/>
      <c r="D390" s="134">
        <f>Tableau1[[#This Row],[Date début]]</f>
        <v>0</v>
      </c>
      <c r="E390" s="136" t="e">
        <f>VLOOKUP(Tableau1[[#This Row],[Type]],LISTES!$A$2:$O$61,2,0)</f>
        <v>#N/A</v>
      </c>
      <c r="F390" s="136">
        <f>NETWORKDAYS.INTL(C390,D390,11,CALENDRIER!AF386:AF397)</f>
        <v>1</v>
      </c>
      <c r="G390" s="134"/>
      <c r="H390" s="137">
        <f>Tableau1[[#This Row],[Date début]]</f>
        <v>0</v>
      </c>
    </row>
    <row r="391" spans="1:8">
      <c r="A391" s="133" t="s">
        <v>181</v>
      </c>
      <c r="C391" s="134"/>
      <c r="D391" s="134">
        <f>Tableau1[[#This Row],[Date début]]</f>
        <v>0</v>
      </c>
      <c r="E391" s="136" t="e">
        <f>VLOOKUP(Tableau1[[#This Row],[Type]],LISTES!$A$2:$O$61,2,0)</f>
        <v>#N/A</v>
      </c>
      <c r="F391" s="136">
        <f>NETWORKDAYS.INTL(C391,D391,11,CALENDRIER!AF387:AF398)</f>
        <v>1</v>
      </c>
      <c r="G391" s="134"/>
      <c r="H391" s="137">
        <f>Tableau1[[#This Row],[Date début]]</f>
        <v>0</v>
      </c>
    </row>
    <row r="392" spans="1:8">
      <c r="A392" s="133" t="s">
        <v>181</v>
      </c>
      <c r="C392" s="134"/>
      <c r="D392" s="134">
        <f>Tableau1[[#This Row],[Date début]]</f>
        <v>0</v>
      </c>
      <c r="E392" s="136" t="e">
        <f>VLOOKUP(Tableau1[[#This Row],[Type]],LISTES!$A$2:$O$61,2,0)</f>
        <v>#N/A</v>
      </c>
      <c r="F392" s="136">
        <f>NETWORKDAYS.INTL(C392,D392,11,CALENDRIER!AF388:AF399)</f>
        <v>1</v>
      </c>
      <c r="G392" s="134"/>
      <c r="H392" s="137">
        <f>Tableau1[[#This Row],[Date début]]</f>
        <v>0</v>
      </c>
    </row>
    <row r="393" spans="1:8">
      <c r="A393" s="133" t="s">
        <v>181</v>
      </c>
      <c r="C393" s="134"/>
      <c r="D393" s="134">
        <f>Tableau1[[#This Row],[Date début]]</f>
        <v>0</v>
      </c>
      <c r="E393" s="136" t="e">
        <f>VLOOKUP(Tableau1[[#This Row],[Type]],LISTES!$A$2:$O$61,2,0)</f>
        <v>#N/A</v>
      </c>
      <c r="F393" s="136">
        <f>NETWORKDAYS.INTL(C393,D393,11,CALENDRIER!AF389:AF400)</f>
        <v>1</v>
      </c>
      <c r="G393" s="134"/>
      <c r="H393" s="137">
        <f>Tableau1[[#This Row],[Date début]]</f>
        <v>0</v>
      </c>
    </row>
    <row r="394" spans="1:8">
      <c r="A394" s="133" t="s">
        <v>181</v>
      </c>
      <c r="C394" s="134"/>
      <c r="D394" s="134">
        <f>Tableau1[[#This Row],[Date début]]</f>
        <v>0</v>
      </c>
      <c r="E394" s="136" t="e">
        <f>VLOOKUP(Tableau1[[#This Row],[Type]],LISTES!$A$2:$O$61,2,0)</f>
        <v>#N/A</v>
      </c>
      <c r="F394" s="136">
        <f>NETWORKDAYS.INTL(C394,D394,11,CALENDRIER!AF390:AF401)</f>
        <v>1</v>
      </c>
      <c r="G394" s="134"/>
      <c r="H394" s="137">
        <f>Tableau1[[#This Row],[Date début]]</f>
        <v>0</v>
      </c>
    </row>
    <row r="395" spans="1:8">
      <c r="A395" s="133" t="s">
        <v>181</v>
      </c>
      <c r="C395" s="134"/>
      <c r="D395" s="134">
        <f>Tableau1[[#This Row],[Date début]]</f>
        <v>0</v>
      </c>
      <c r="E395" s="136" t="e">
        <f>VLOOKUP(Tableau1[[#This Row],[Type]],LISTES!$A$2:$O$61,2,0)</f>
        <v>#N/A</v>
      </c>
      <c r="F395" s="136">
        <f>NETWORKDAYS.INTL(C395,D395,11,CALENDRIER!AF391:AF402)</f>
        <v>1</v>
      </c>
      <c r="G395" s="134"/>
      <c r="H395" s="137">
        <f>Tableau1[[#This Row],[Date début]]</f>
        <v>0</v>
      </c>
    </row>
    <row r="396" spans="1:8">
      <c r="A396" s="133" t="s">
        <v>181</v>
      </c>
      <c r="C396" s="134"/>
      <c r="D396" s="134">
        <f>Tableau1[[#This Row],[Date début]]</f>
        <v>0</v>
      </c>
      <c r="E396" s="136" t="e">
        <f>VLOOKUP(Tableau1[[#This Row],[Type]],LISTES!$A$2:$O$61,2,0)</f>
        <v>#N/A</v>
      </c>
      <c r="F396" s="136">
        <f>NETWORKDAYS.INTL(C396,D396,11,CALENDRIER!AF392:AF403)</f>
        <v>1</v>
      </c>
      <c r="G396" s="134"/>
      <c r="H396" s="137">
        <f>Tableau1[[#This Row],[Date début]]</f>
        <v>0</v>
      </c>
    </row>
    <row r="397" spans="1:8">
      <c r="A397" s="133" t="s">
        <v>181</v>
      </c>
      <c r="C397" s="134"/>
      <c r="D397" s="134">
        <f>Tableau1[[#This Row],[Date début]]</f>
        <v>0</v>
      </c>
      <c r="E397" s="136" t="e">
        <f>VLOOKUP(Tableau1[[#This Row],[Type]],LISTES!$A$2:$O$61,2,0)</f>
        <v>#N/A</v>
      </c>
      <c r="F397" s="136">
        <f>NETWORKDAYS.INTL(C397,D397,11,CALENDRIER!AF393:AF404)</f>
        <v>1</v>
      </c>
      <c r="G397" s="134"/>
      <c r="H397" s="137">
        <f>Tableau1[[#This Row],[Date début]]</f>
        <v>0</v>
      </c>
    </row>
    <row r="398" spans="1:8">
      <c r="A398" s="133" t="s">
        <v>181</v>
      </c>
      <c r="C398" s="134"/>
      <c r="D398" s="134">
        <f>Tableau1[[#This Row],[Date début]]</f>
        <v>0</v>
      </c>
      <c r="E398" s="136" t="e">
        <f>VLOOKUP(Tableau1[[#This Row],[Type]],LISTES!$A$2:$O$61,2,0)</f>
        <v>#N/A</v>
      </c>
      <c r="F398" s="136">
        <f>NETWORKDAYS.INTL(C398,D398,11,CALENDRIER!AF394:AF405)</f>
        <v>1</v>
      </c>
      <c r="G398" s="134"/>
      <c r="H398" s="137">
        <f>Tableau1[[#This Row],[Date début]]</f>
        <v>0</v>
      </c>
    </row>
    <row r="399" spans="1:8">
      <c r="A399" s="133" t="s">
        <v>181</v>
      </c>
      <c r="C399" s="134"/>
      <c r="D399" s="134">
        <f>Tableau1[[#This Row],[Date début]]</f>
        <v>0</v>
      </c>
      <c r="E399" s="136" t="e">
        <f>VLOOKUP(Tableau1[[#This Row],[Type]],LISTES!$A$2:$O$61,2,0)</f>
        <v>#N/A</v>
      </c>
      <c r="F399" s="136">
        <f>NETWORKDAYS.INTL(C399,D399,11,CALENDRIER!AF395:AF406)</f>
        <v>1</v>
      </c>
      <c r="G399" s="134"/>
      <c r="H399" s="137">
        <f>Tableau1[[#This Row],[Date début]]</f>
        <v>0</v>
      </c>
    </row>
    <row r="400" spans="1:8">
      <c r="A400" s="133" t="s">
        <v>181</v>
      </c>
      <c r="C400" s="134"/>
      <c r="D400" s="134">
        <f>Tableau1[[#This Row],[Date début]]</f>
        <v>0</v>
      </c>
      <c r="E400" s="136" t="e">
        <f>VLOOKUP(Tableau1[[#This Row],[Type]],LISTES!$A$2:$O$61,2,0)</f>
        <v>#N/A</v>
      </c>
      <c r="F400" s="136">
        <f>NETWORKDAYS.INTL(C400,D400,11,CALENDRIER!AF396:AF407)</f>
        <v>1</v>
      </c>
      <c r="G400" s="134"/>
      <c r="H400" s="137">
        <f>Tableau1[[#This Row],[Date début]]</f>
        <v>0</v>
      </c>
    </row>
    <row r="401" spans="1:8">
      <c r="A401" s="133" t="s">
        <v>181</v>
      </c>
      <c r="C401" s="134"/>
      <c r="D401" s="134">
        <f>Tableau1[[#This Row],[Date début]]</f>
        <v>0</v>
      </c>
      <c r="E401" s="136" t="e">
        <f>VLOOKUP(Tableau1[[#This Row],[Type]],LISTES!$A$2:$O$61,2,0)</f>
        <v>#N/A</v>
      </c>
      <c r="F401" s="136">
        <f>NETWORKDAYS.INTL(C401,D401,11,CALENDRIER!AF397:AF408)</f>
        <v>1</v>
      </c>
      <c r="G401" s="134"/>
      <c r="H401" s="137">
        <f>Tableau1[[#This Row],[Date début]]</f>
        <v>0</v>
      </c>
    </row>
    <row r="402" spans="1:8">
      <c r="A402" s="133" t="s">
        <v>181</v>
      </c>
      <c r="C402" s="134"/>
      <c r="D402" s="134">
        <f>Tableau1[[#This Row],[Date début]]</f>
        <v>0</v>
      </c>
      <c r="E402" s="136" t="e">
        <f>VLOOKUP(Tableau1[[#This Row],[Type]],LISTES!$A$2:$O$61,2,0)</f>
        <v>#N/A</v>
      </c>
      <c r="F402" s="136">
        <f>NETWORKDAYS.INTL(C402,D402,11,CALENDRIER!AF398:AF409)</f>
        <v>1</v>
      </c>
      <c r="G402" s="134"/>
      <c r="H402" s="137">
        <f>Tableau1[[#This Row],[Date début]]</f>
        <v>0</v>
      </c>
    </row>
    <row r="403" spans="1:8">
      <c r="A403" s="133" t="s">
        <v>181</v>
      </c>
      <c r="C403" s="134"/>
      <c r="D403" s="134">
        <f>Tableau1[[#This Row],[Date début]]</f>
        <v>0</v>
      </c>
      <c r="E403" s="136" t="e">
        <f>VLOOKUP(Tableau1[[#This Row],[Type]],LISTES!$A$2:$O$61,2,0)</f>
        <v>#N/A</v>
      </c>
      <c r="F403" s="136">
        <f>NETWORKDAYS.INTL(C403,D403,11,CALENDRIER!AF399:AF410)</f>
        <v>1</v>
      </c>
      <c r="G403" s="134"/>
      <c r="H403" s="137">
        <f>Tableau1[[#This Row],[Date début]]</f>
        <v>0</v>
      </c>
    </row>
    <row r="404" spans="1:8">
      <c r="A404" s="133" t="s">
        <v>181</v>
      </c>
      <c r="C404" s="134"/>
      <c r="D404" s="134">
        <f>Tableau1[[#This Row],[Date début]]</f>
        <v>0</v>
      </c>
      <c r="E404" s="136" t="e">
        <f>VLOOKUP(Tableau1[[#This Row],[Type]],LISTES!$A$2:$O$61,2,0)</f>
        <v>#N/A</v>
      </c>
      <c r="F404" s="136">
        <f>NETWORKDAYS.INTL(C404,D404,11,CALENDRIER!AF400:AF411)</f>
        <v>1</v>
      </c>
      <c r="G404" s="134"/>
      <c r="H404" s="137">
        <f>Tableau1[[#This Row],[Date début]]</f>
        <v>0</v>
      </c>
    </row>
    <row r="405" spans="1:8">
      <c r="A405" s="133" t="s">
        <v>181</v>
      </c>
      <c r="C405" s="134"/>
      <c r="D405" s="134">
        <f>Tableau1[[#This Row],[Date début]]</f>
        <v>0</v>
      </c>
      <c r="E405" s="136" t="e">
        <f>VLOOKUP(Tableau1[[#This Row],[Type]],LISTES!$A$2:$O$61,2,0)</f>
        <v>#N/A</v>
      </c>
      <c r="F405" s="136">
        <f>NETWORKDAYS.INTL(C405,D405,11,CALENDRIER!AF401:AF412)</f>
        <v>1</v>
      </c>
      <c r="G405" s="134"/>
      <c r="H405" s="137">
        <f>Tableau1[[#This Row],[Date début]]</f>
        <v>0</v>
      </c>
    </row>
    <row r="406" spans="1:8">
      <c r="A406" s="133" t="s">
        <v>181</v>
      </c>
      <c r="C406" s="134"/>
      <c r="D406" s="134">
        <f>Tableau1[[#This Row],[Date début]]</f>
        <v>0</v>
      </c>
      <c r="E406" s="136" t="e">
        <f>VLOOKUP(Tableau1[[#This Row],[Type]],LISTES!$A$2:$O$61,2,0)</f>
        <v>#N/A</v>
      </c>
      <c r="F406" s="136">
        <f>NETWORKDAYS.INTL(C406,D406,11,CALENDRIER!AF402:AF413)</f>
        <v>1</v>
      </c>
      <c r="G406" s="134"/>
      <c r="H406" s="137">
        <f>Tableau1[[#This Row],[Date début]]</f>
        <v>0</v>
      </c>
    </row>
    <row r="407" spans="1:8">
      <c r="A407" s="133" t="s">
        <v>181</v>
      </c>
      <c r="C407" s="134"/>
      <c r="D407" s="134">
        <f>Tableau1[[#This Row],[Date début]]</f>
        <v>0</v>
      </c>
      <c r="E407" s="136" t="e">
        <f>VLOOKUP(Tableau1[[#This Row],[Type]],LISTES!$A$2:$O$61,2,0)</f>
        <v>#N/A</v>
      </c>
      <c r="F407" s="136">
        <f>NETWORKDAYS.INTL(C407,D407,11,CALENDRIER!AF403:AF414)</f>
        <v>1</v>
      </c>
      <c r="G407" s="134"/>
      <c r="H407" s="137">
        <f>Tableau1[[#This Row],[Date début]]</f>
        <v>0</v>
      </c>
    </row>
    <row r="408" spans="1:8">
      <c r="A408" s="133" t="s">
        <v>181</v>
      </c>
      <c r="C408" s="134"/>
      <c r="D408" s="134">
        <f>Tableau1[[#This Row],[Date début]]</f>
        <v>0</v>
      </c>
      <c r="E408" s="136" t="e">
        <f>VLOOKUP(Tableau1[[#This Row],[Type]],LISTES!$A$2:$O$61,2,0)</f>
        <v>#N/A</v>
      </c>
      <c r="F408" s="136">
        <f>NETWORKDAYS.INTL(C408,D408,11,CALENDRIER!AF404:AF415)</f>
        <v>1</v>
      </c>
      <c r="G408" s="134"/>
      <c r="H408" s="137">
        <f>Tableau1[[#This Row],[Date début]]</f>
        <v>0</v>
      </c>
    </row>
    <row r="409" spans="1:8">
      <c r="A409" s="133" t="s">
        <v>181</v>
      </c>
      <c r="C409" s="134"/>
      <c r="D409" s="134">
        <f>Tableau1[[#This Row],[Date début]]</f>
        <v>0</v>
      </c>
      <c r="E409" s="136" t="e">
        <f>VLOOKUP(Tableau1[[#This Row],[Type]],LISTES!$A$2:$O$61,2,0)</f>
        <v>#N/A</v>
      </c>
      <c r="F409" s="136">
        <f>NETWORKDAYS.INTL(C409,D409,11,CALENDRIER!AF405:AF416)</f>
        <v>1</v>
      </c>
      <c r="G409" s="134"/>
      <c r="H409" s="137">
        <f>Tableau1[[#This Row],[Date début]]</f>
        <v>0</v>
      </c>
    </row>
    <row r="410" spans="1:8">
      <c r="A410" s="133" t="s">
        <v>181</v>
      </c>
      <c r="C410" s="134"/>
      <c r="D410" s="134">
        <f>Tableau1[[#This Row],[Date début]]</f>
        <v>0</v>
      </c>
      <c r="E410" s="136" t="e">
        <f>VLOOKUP(Tableau1[[#This Row],[Type]],LISTES!$A$2:$O$61,2,0)</f>
        <v>#N/A</v>
      </c>
      <c r="F410" s="136">
        <f>NETWORKDAYS.INTL(C410,D410,11,CALENDRIER!AF406:AF417)</f>
        <v>1</v>
      </c>
      <c r="G410" s="134"/>
      <c r="H410" s="137">
        <f>Tableau1[[#This Row],[Date début]]</f>
        <v>0</v>
      </c>
    </row>
    <row r="411" spans="1:8">
      <c r="A411" s="133" t="s">
        <v>181</v>
      </c>
      <c r="C411" s="134"/>
      <c r="D411" s="134">
        <f>Tableau1[[#This Row],[Date début]]</f>
        <v>0</v>
      </c>
      <c r="E411" s="136" t="e">
        <f>VLOOKUP(Tableau1[[#This Row],[Type]],LISTES!$A$2:$O$61,2,0)</f>
        <v>#N/A</v>
      </c>
      <c r="F411" s="136">
        <f>NETWORKDAYS.INTL(C411,D411,11,CALENDRIER!AF407:AF418)</f>
        <v>1</v>
      </c>
      <c r="G411" s="134"/>
      <c r="H411" s="137">
        <f>Tableau1[[#This Row],[Date début]]</f>
        <v>0</v>
      </c>
    </row>
    <row r="412" spans="1:8">
      <c r="A412" s="133" t="s">
        <v>181</v>
      </c>
      <c r="C412" s="134"/>
      <c r="D412" s="134">
        <f>Tableau1[[#This Row],[Date début]]</f>
        <v>0</v>
      </c>
      <c r="E412" s="136" t="e">
        <f>VLOOKUP(Tableau1[[#This Row],[Type]],LISTES!$A$2:$O$61,2,0)</f>
        <v>#N/A</v>
      </c>
      <c r="F412" s="136">
        <f>NETWORKDAYS.INTL(C412,D412,11,CALENDRIER!AF408:AF419)</f>
        <v>1</v>
      </c>
      <c r="G412" s="134"/>
      <c r="H412" s="137">
        <f>Tableau1[[#This Row],[Date début]]</f>
        <v>0</v>
      </c>
    </row>
    <row r="413" spans="1:8">
      <c r="A413" s="133" t="s">
        <v>181</v>
      </c>
      <c r="C413" s="134"/>
      <c r="D413" s="134">
        <f>Tableau1[[#This Row],[Date début]]</f>
        <v>0</v>
      </c>
      <c r="E413" s="136" t="e">
        <f>VLOOKUP(Tableau1[[#This Row],[Type]],LISTES!$A$2:$O$61,2,0)</f>
        <v>#N/A</v>
      </c>
      <c r="F413" s="136">
        <f>NETWORKDAYS.INTL(C413,D413,11,CALENDRIER!AF409:AF420)</f>
        <v>1</v>
      </c>
      <c r="G413" s="134"/>
      <c r="H413" s="137">
        <f>Tableau1[[#This Row],[Date début]]</f>
        <v>0</v>
      </c>
    </row>
    <row r="414" spans="1:8">
      <c r="A414" s="133" t="s">
        <v>181</v>
      </c>
      <c r="C414" s="134"/>
      <c r="D414" s="134">
        <f>Tableau1[[#This Row],[Date début]]</f>
        <v>0</v>
      </c>
      <c r="E414" s="136" t="e">
        <f>VLOOKUP(Tableau1[[#This Row],[Type]],LISTES!$A$2:$O$61,2,0)</f>
        <v>#N/A</v>
      </c>
      <c r="F414" s="136">
        <f>NETWORKDAYS.INTL(C414,D414,11,CALENDRIER!AF410:AF421)</f>
        <v>1</v>
      </c>
      <c r="G414" s="134"/>
      <c r="H414" s="137">
        <f>Tableau1[[#This Row],[Date début]]</f>
        <v>0</v>
      </c>
    </row>
    <row r="415" spans="1:8">
      <c r="A415" s="133" t="s">
        <v>181</v>
      </c>
      <c r="C415" s="134"/>
      <c r="D415" s="134">
        <f>Tableau1[[#This Row],[Date début]]</f>
        <v>0</v>
      </c>
      <c r="E415" s="136" t="e">
        <f>VLOOKUP(Tableau1[[#This Row],[Type]],LISTES!$A$2:$O$61,2,0)</f>
        <v>#N/A</v>
      </c>
      <c r="F415" s="136">
        <f>NETWORKDAYS.INTL(C415,D415,11,CALENDRIER!AF411:AF422)</f>
        <v>1</v>
      </c>
      <c r="G415" s="134"/>
      <c r="H415" s="137">
        <f>Tableau1[[#This Row],[Date début]]</f>
        <v>0</v>
      </c>
    </row>
    <row r="416" spans="1:8">
      <c r="A416" s="133" t="s">
        <v>181</v>
      </c>
      <c r="C416" s="134"/>
      <c r="D416" s="134">
        <f>Tableau1[[#This Row],[Date début]]</f>
        <v>0</v>
      </c>
      <c r="E416" s="136" t="e">
        <f>VLOOKUP(Tableau1[[#This Row],[Type]],LISTES!$A$2:$O$61,2,0)</f>
        <v>#N/A</v>
      </c>
      <c r="F416" s="136">
        <f>NETWORKDAYS.INTL(C416,D416,11,CALENDRIER!AF412:AF423)</f>
        <v>1</v>
      </c>
      <c r="G416" s="134"/>
      <c r="H416" s="137">
        <f>Tableau1[[#This Row],[Date début]]</f>
        <v>0</v>
      </c>
    </row>
    <row r="417" spans="1:8">
      <c r="A417" s="133" t="s">
        <v>181</v>
      </c>
      <c r="C417" s="134"/>
      <c r="D417" s="134">
        <f>Tableau1[[#This Row],[Date début]]</f>
        <v>0</v>
      </c>
      <c r="E417" s="136" t="e">
        <f>VLOOKUP(Tableau1[[#This Row],[Type]],LISTES!$A$2:$O$61,2,0)</f>
        <v>#N/A</v>
      </c>
      <c r="F417" s="136">
        <f>NETWORKDAYS.INTL(C417,D417,11,CALENDRIER!AF413:AF424)</f>
        <v>1</v>
      </c>
      <c r="G417" s="134"/>
      <c r="H417" s="137">
        <f>Tableau1[[#This Row],[Date début]]</f>
        <v>0</v>
      </c>
    </row>
    <row r="418" spans="1:8">
      <c r="A418" s="133" t="s">
        <v>181</v>
      </c>
      <c r="C418" s="134"/>
      <c r="D418" s="134">
        <f>Tableau1[[#This Row],[Date début]]</f>
        <v>0</v>
      </c>
      <c r="E418" s="136" t="e">
        <f>VLOOKUP(Tableau1[[#This Row],[Type]],LISTES!$A$2:$O$61,2,0)</f>
        <v>#N/A</v>
      </c>
      <c r="F418" s="136">
        <f>NETWORKDAYS.INTL(C418,D418,11,CALENDRIER!AF414:AF425)</f>
        <v>1</v>
      </c>
      <c r="G418" s="134"/>
      <c r="H418" s="137">
        <f>Tableau1[[#This Row],[Date début]]</f>
        <v>0</v>
      </c>
    </row>
    <row r="419" spans="1:8">
      <c r="A419" s="133" t="s">
        <v>181</v>
      </c>
      <c r="C419" s="134"/>
      <c r="D419" s="134">
        <f>Tableau1[[#This Row],[Date début]]</f>
        <v>0</v>
      </c>
      <c r="E419" s="136" t="e">
        <f>VLOOKUP(Tableau1[[#This Row],[Type]],LISTES!$A$2:$O$61,2,0)</f>
        <v>#N/A</v>
      </c>
      <c r="F419" s="136">
        <f>NETWORKDAYS.INTL(C419,D419,11,CALENDRIER!AF415:AF426)</f>
        <v>1</v>
      </c>
      <c r="G419" s="134"/>
      <c r="H419" s="137">
        <f>Tableau1[[#This Row],[Date début]]</f>
        <v>0</v>
      </c>
    </row>
    <row r="420" spans="1:8">
      <c r="A420" s="133" t="s">
        <v>181</v>
      </c>
      <c r="C420" s="134"/>
      <c r="D420" s="134">
        <f>Tableau1[[#This Row],[Date début]]</f>
        <v>0</v>
      </c>
      <c r="E420" s="136" t="e">
        <f>VLOOKUP(Tableau1[[#This Row],[Type]],LISTES!$A$2:$O$61,2,0)</f>
        <v>#N/A</v>
      </c>
      <c r="F420" s="136">
        <f>NETWORKDAYS.INTL(C420,D420,11,CALENDRIER!AF416:AF427)</f>
        <v>1</v>
      </c>
      <c r="G420" s="134"/>
      <c r="H420" s="137">
        <f>Tableau1[[#This Row],[Date début]]</f>
        <v>0</v>
      </c>
    </row>
    <row r="421" spans="1:8">
      <c r="A421" s="133" t="s">
        <v>181</v>
      </c>
      <c r="C421" s="134"/>
      <c r="D421" s="134">
        <f>Tableau1[[#This Row],[Date début]]</f>
        <v>0</v>
      </c>
      <c r="E421" s="136" t="e">
        <f>VLOOKUP(Tableau1[[#This Row],[Type]],LISTES!$A$2:$O$61,2,0)</f>
        <v>#N/A</v>
      </c>
      <c r="F421" s="136">
        <f>NETWORKDAYS.INTL(C421,D421,11,CALENDRIER!AF417:AF428)</f>
        <v>1</v>
      </c>
      <c r="G421" s="134"/>
      <c r="H421" s="137">
        <f>Tableau1[[#This Row],[Date début]]</f>
        <v>0</v>
      </c>
    </row>
    <row r="422" spans="1:8">
      <c r="A422" s="133" t="s">
        <v>181</v>
      </c>
      <c r="C422" s="134"/>
      <c r="D422" s="134">
        <f>Tableau1[[#This Row],[Date début]]</f>
        <v>0</v>
      </c>
      <c r="E422" s="136" t="e">
        <f>VLOOKUP(Tableau1[[#This Row],[Type]],LISTES!$A$2:$O$61,2,0)</f>
        <v>#N/A</v>
      </c>
      <c r="F422" s="136">
        <f>NETWORKDAYS.INTL(C422,D422,11,CALENDRIER!AF418:AF429)</f>
        <v>1</v>
      </c>
      <c r="G422" s="134"/>
      <c r="H422" s="137">
        <f>Tableau1[[#This Row],[Date début]]</f>
        <v>0</v>
      </c>
    </row>
    <row r="423" spans="1:8">
      <c r="A423" s="133" t="s">
        <v>181</v>
      </c>
      <c r="C423" s="134"/>
      <c r="D423" s="134">
        <f>Tableau1[[#This Row],[Date début]]</f>
        <v>0</v>
      </c>
      <c r="E423" s="136" t="e">
        <f>VLOOKUP(Tableau1[[#This Row],[Type]],LISTES!$A$2:$O$61,2,0)</f>
        <v>#N/A</v>
      </c>
      <c r="F423" s="136">
        <f>NETWORKDAYS.INTL(C423,D423,11,CALENDRIER!AF419:AF430)</f>
        <v>1</v>
      </c>
      <c r="G423" s="134"/>
      <c r="H423" s="137">
        <f>Tableau1[[#This Row],[Date début]]</f>
        <v>0</v>
      </c>
    </row>
    <row r="424" spans="1:8">
      <c r="A424" s="133" t="s">
        <v>181</v>
      </c>
      <c r="C424" s="134"/>
      <c r="D424" s="134">
        <f>Tableau1[[#This Row],[Date début]]</f>
        <v>0</v>
      </c>
      <c r="E424" s="136" t="e">
        <f>VLOOKUP(Tableau1[[#This Row],[Type]],LISTES!$A$2:$O$61,2,0)</f>
        <v>#N/A</v>
      </c>
      <c r="F424" s="136">
        <f>NETWORKDAYS.INTL(C424,D424,11,CALENDRIER!AF420:AF431)</f>
        <v>1</v>
      </c>
      <c r="G424" s="134"/>
      <c r="H424" s="137">
        <f>Tableau1[[#This Row],[Date début]]</f>
        <v>0</v>
      </c>
    </row>
    <row r="425" spans="1:8">
      <c r="A425" s="133" t="s">
        <v>181</v>
      </c>
      <c r="C425" s="134"/>
      <c r="D425" s="134">
        <f>Tableau1[[#This Row],[Date début]]</f>
        <v>0</v>
      </c>
      <c r="E425" s="136" t="e">
        <f>VLOOKUP(Tableau1[[#This Row],[Type]],LISTES!$A$2:$O$61,2,0)</f>
        <v>#N/A</v>
      </c>
      <c r="F425" s="136">
        <f>NETWORKDAYS.INTL(C425,D425,11,CALENDRIER!AF421:AF432)</f>
        <v>1</v>
      </c>
      <c r="G425" s="134"/>
      <c r="H425" s="137">
        <f>Tableau1[[#This Row],[Date début]]</f>
        <v>0</v>
      </c>
    </row>
    <row r="426" spans="1:8">
      <c r="A426" s="133" t="s">
        <v>181</v>
      </c>
      <c r="C426" s="134"/>
      <c r="D426" s="134">
        <f>Tableau1[[#This Row],[Date début]]</f>
        <v>0</v>
      </c>
      <c r="E426" s="136" t="e">
        <f>VLOOKUP(Tableau1[[#This Row],[Type]],LISTES!$A$2:$O$61,2,0)</f>
        <v>#N/A</v>
      </c>
      <c r="F426" s="136">
        <f>NETWORKDAYS.INTL(C426,D426,11,CALENDRIER!AF422:AF433)</f>
        <v>1</v>
      </c>
      <c r="G426" s="134"/>
      <c r="H426" s="137">
        <f>Tableau1[[#This Row],[Date début]]</f>
        <v>0</v>
      </c>
    </row>
    <row r="427" spans="1:8">
      <c r="A427" s="133" t="s">
        <v>181</v>
      </c>
      <c r="C427" s="134"/>
      <c r="D427" s="134">
        <f>Tableau1[[#This Row],[Date début]]</f>
        <v>0</v>
      </c>
      <c r="E427" s="136" t="e">
        <f>VLOOKUP(Tableau1[[#This Row],[Type]],LISTES!$A$2:$O$61,2,0)</f>
        <v>#N/A</v>
      </c>
      <c r="F427" s="136">
        <f>NETWORKDAYS.INTL(C427,D427,11,CALENDRIER!AF423:AF434)</f>
        <v>1</v>
      </c>
      <c r="G427" s="134"/>
      <c r="H427" s="137">
        <f>Tableau1[[#This Row],[Date début]]</f>
        <v>0</v>
      </c>
    </row>
    <row r="428" spans="1:8">
      <c r="A428" s="133" t="s">
        <v>181</v>
      </c>
      <c r="C428" s="134"/>
      <c r="D428" s="134">
        <f>Tableau1[[#This Row],[Date début]]</f>
        <v>0</v>
      </c>
      <c r="E428" s="136" t="e">
        <f>VLOOKUP(Tableau1[[#This Row],[Type]],LISTES!$A$2:$O$61,2,0)</f>
        <v>#N/A</v>
      </c>
      <c r="F428" s="136">
        <f>NETWORKDAYS.INTL(C428,D428,11,CALENDRIER!AF424:AF435)</f>
        <v>1</v>
      </c>
      <c r="G428" s="134"/>
      <c r="H428" s="137">
        <f>Tableau1[[#This Row],[Date début]]</f>
        <v>0</v>
      </c>
    </row>
    <row r="429" spans="1:8">
      <c r="A429" s="133" t="s">
        <v>181</v>
      </c>
      <c r="C429" s="134"/>
      <c r="D429" s="134">
        <f>Tableau1[[#This Row],[Date début]]</f>
        <v>0</v>
      </c>
      <c r="E429" s="136" t="e">
        <f>VLOOKUP(Tableau1[[#This Row],[Type]],LISTES!$A$2:$O$61,2,0)</f>
        <v>#N/A</v>
      </c>
      <c r="F429" s="136">
        <f>NETWORKDAYS.INTL(C429,D429,11,CALENDRIER!AF425:AF436)</f>
        <v>1</v>
      </c>
      <c r="G429" s="134"/>
      <c r="H429" s="137">
        <f>Tableau1[[#This Row],[Date début]]</f>
        <v>0</v>
      </c>
    </row>
    <row r="430" spans="1:8">
      <c r="A430" s="133" t="s">
        <v>181</v>
      </c>
      <c r="C430" s="134"/>
      <c r="D430" s="134">
        <f>Tableau1[[#This Row],[Date début]]</f>
        <v>0</v>
      </c>
      <c r="E430" s="136" t="e">
        <f>VLOOKUP(Tableau1[[#This Row],[Type]],LISTES!$A$2:$O$61,2,0)</f>
        <v>#N/A</v>
      </c>
      <c r="F430" s="136">
        <f>NETWORKDAYS.INTL(C430,D430,11,CALENDRIER!AF426:AF437)</f>
        <v>1</v>
      </c>
      <c r="G430" s="134"/>
      <c r="H430" s="137">
        <f>Tableau1[[#This Row],[Date début]]</f>
        <v>0</v>
      </c>
    </row>
    <row r="431" spans="1:8">
      <c r="A431" s="133" t="s">
        <v>181</v>
      </c>
      <c r="C431" s="134"/>
      <c r="D431" s="134">
        <f>Tableau1[[#This Row],[Date début]]</f>
        <v>0</v>
      </c>
      <c r="E431" s="136" t="e">
        <f>VLOOKUP(Tableau1[[#This Row],[Type]],LISTES!$A$2:$O$61,2,0)</f>
        <v>#N/A</v>
      </c>
      <c r="F431" s="136">
        <f>NETWORKDAYS.INTL(C431,D431,11,CALENDRIER!AF427:AF438)</f>
        <v>1</v>
      </c>
      <c r="G431" s="134"/>
      <c r="H431" s="137">
        <f>Tableau1[[#This Row],[Date début]]</f>
        <v>0</v>
      </c>
    </row>
    <row r="432" spans="1:8">
      <c r="A432" s="133" t="s">
        <v>181</v>
      </c>
      <c r="C432" s="134"/>
      <c r="D432" s="134">
        <f>Tableau1[[#This Row],[Date début]]</f>
        <v>0</v>
      </c>
      <c r="E432" s="136" t="e">
        <f>VLOOKUP(Tableau1[[#This Row],[Type]],LISTES!$A$2:$O$61,2,0)</f>
        <v>#N/A</v>
      </c>
      <c r="F432" s="136">
        <f>NETWORKDAYS.INTL(C432,D432,11,CALENDRIER!AF428:AF439)</f>
        <v>1</v>
      </c>
      <c r="G432" s="134"/>
      <c r="H432" s="137">
        <f>Tableau1[[#This Row],[Date début]]</f>
        <v>0</v>
      </c>
    </row>
    <row r="433" spans="1:8">
      <c r="A433" s="133" t="s">
        <v>181</v>
      </c>
      <c r="C433" s="134"/>
      <c r="D433" s="134">
        <f>Tableau1[[#This Row],[Date début]]</f>
        <v>0</v>
      </c>
      <c r="E433" s="136" t="e">
        <f>VLOOKUP(Tableau1[[#This Row],[Type]],LISTES!$A$2:$O$61,2,0)</f>
        <v>#N/A</v>
      </c>
      <c r="F433" s="136">
        <f>NETWORKDAYS.INTL(C433,D433,11,CALENDRIER!AF429:AF440)</f>
        <v>1</v>
      </c>
      <c r="G433" s="134"/>
      <c r="H433" s="137">
        <f>Tableau1[[#This Row],[Date début]]</f>
        <v>0</v>
      </c>
    </row>
    <row r="434" spans="1:8">
      <c r="A434" s="133" t="s">
        <v>181</v>
      </c>
      <c r="C434" s="134"/>
      <c r="D434" s="134">
        <f>Tableau1[[#This Row],[Date début]]</f>
        <v>0</v>
      </c>
      <c r="E434" s="136" t="e">
        <f>VLOOKUP(Tableau1[[#This Row],[Type]],LISTES!$A$2:$O$61,2,0)</f>
        <v>#N/A</v>
      </c>
      <c r="F434" s="136">
        <f>NETWORKDAYS.INTL(C434,D434,11,CALENDRIER!AF430:AF441)</f>
        <v>1</v>
      </c>
      <c r="G434" s="134"/>
      <c r="H434" s="137">
        <f>Tableau1[[#This Row],[Date début]]</f>
        <v>0</v>
      </c>
    </row>
    <row r="435" spans="1:8">
      <c r="A435" s="133" t="s">
        <v>181</v>
      </c>
      <c r="C435" s="134"/>
      <c r="D435" s="134">
        <f>Tableau1[[#This Row],[Date début]]</f>
        <v>0</v>
      </c>
      <c r="E435" s="136" t="e">
        <f>VLOOKUP(Tableau1[[#This Row],[Type]],LISTES!$A$2:$O$61,2,0)</f>
        <v>#N/A</v>
      </c>
      <c r="F435" s="136">
        <f>NETWORKDAYS.INTL(C435,D435,11,CALENDRIER!AF431:AF442)</f>
        <v>1</v>
      </c>
      <c r="G435" s="134"/>
      <c r="H435" s="137">
        <f>Tableau1[[#This Row],[Date début]]</f>
        <v>0</v>
      </c>
    </row>
    <row r="436" spans="1:8">
      <c r="A436" s="133" t="s">
        <v>181</v>
      </c>
      <c r="C436" s="134"/>
      <c r="D436" s="134">
        <f>Tableau1[[#This Row],[Date début]]</f>
        <v>0</v>
      </c>
      <c r="E436" s="136" t="e">
        <f>VLOOKUP(Tableau1[[#This Row],[Type]],LISTES!$A$2:$O$61,2,0)</f>
        <v>#N/A</v>
      </c>
      <c r="F436" s="136">
        <f>NETWORKDAYS.INTL(C436,D436,11,CALENDRIER!AF432:AF443)</f>
        <v>1</v>
      </c>
      <c r="G436" s="134"/>
      <c r="H436" s="137">
        <f>Tableau1[[#This Row],[Date début]]</f>
        <v>0</v>
      </c>
    </row>
    <row r="437" spans="1:8">
      <c r="A437" s="133" t="s">
        <v>181</v>
      </c>
      <c r="C437" s="134"/>
      <c r="D437" s="134">
        <f>Tableau1[[#This Row],[Date début]]</f>
        <v>0</v>
      </c>
      <c r="E437" s="136" t="e">
        <f>VLOOKUP(Tableau1[[#This Row],[Type]],LISTES!$A$2:$O$61,2,0)</f>
        <v>#N/A</v>
      </c>
      <c r="F437" s="136">
        <f>NETWORKDAYS.INTL(C437,D437,11,CALENDRIER!AF433:AF444)</f>
        <v>1</v>
      </c>
      <c r="G437" s="134"/>
      <c r="H437" s="137">
        <f>Tableau1[[#This Row],[Date début]]</f>
        <v>0</v>
      </c>
    </row>
    <row r="438" spans="1:8">
      <c r="A438" s="133" t="s">
        <v>181</v>
      </c>
      <c r="C438" s="134"/>
      <c r="D438" s="134">
        <f>Tableau1[[#This Row],[Date début]]</f>
        <v>0</v>
      </c>
      <c r="E438" s="136" t="e">
        <f>VLOOKUP(Tableau1[[#This Row],[Type]],LISTES!$A$2:$O$61,2,0)</f>
        <v>#N/A</v>
      </c>
      <c r="F438" s="136">
        <f>NETWORKDAYS.INTL(C438,D438,11,CALENDRIER!AF434:AF445)</f>
        <v>1</v>
      </c>
      <c r="G438" s="134"/>
      <c r="H438" s="137">
        <f>Tableau1[[#This Row],[Date début]]</f>
        <v>0</v>
      </c>
    </row>
    <row r="439" spans="1:8">
      <c r="A439" s="133" t="s">
        <v>181</v>
      </c>
      <c r="C439" s="134"/>
      <c r="D439" s="134">
        <f>Tableau1[[#This Row],[Date début]]</f>
        <v>0</v>
      </c>
      <c r="E439" s="136" t="e">
        <f>VLOOKUP(Tableau1[[#This Row],[Type]],LISTES!$A$2:$O$61,2,0)</f>
        <v>#N/A</v>
      </c>
      <c r="F439" s="136">
        <f>NETWORKDAYS.INTL(C439,D439,11,CALENDRIER!AF435:AF446)</f>
        <v>1</v>
      </c>
      <c r="G439" s="134"/>
      <c r="H439" s="137">
        <f>Tableau1[[#This Row],[Date début]]</f>
        <v>0</v>
      </c>
    </row>
    <row r="440" spans="1:8">
      <c r="A440" s="133" t="s">
        <v>181</v>
      </c>
      <c r="C440" s="134"/>
      <c r="D440" s="134">
        <f>Tableau1[[#This Row],[Date début]]</f>
        <v>0</v>
      </c>
      <c r="E440" s="136" t="e">
        <f>VLOOKUP(Tableau1[[#This Row],[Type]],LISTES!$A$2:$O$61,2,0)</f>
        <v>#N/A</v>
      </c>
      <c r="F440" s="136">
        <f>NETWORKDAYS.INTL(C440,D440,11,CALENDRIER!AF436:AF447)</f>
        <v>1</v>
      </c>
      <c r="G440" s="134"/>
      <c r="H440" s="137">
        <f>Tableau1[[#This Row],[Date début]]</f>
        <v>0</v>
      </c>
    </row>
    <row r="441" spans="1:8">
      <c r="A441" s="133" t="s">
        <v>181</v>
      </c>
      <c r="C441" s="134"/>
      <c r="D441" s="134">
        <f>Tableau1[[#This Row],[Date début]]</f>
        <v>0</v>
      </c>
      <c r="E441" s="136" t="e">
        <f>VLOOKUP(Tableau1[[#This Row],[Type]],LISTES!$A$2:$O$61,2,0)</f>
        <v>#N/A</v>
      </c>
      <c r="F441" s="136">
        <f>NETWORKDAYS.INTL(C441,D441,11,CALENDRIER!AF437:AF448)</f>
        <v>1</v>
      </c>
      <c r="G441" s="134"/>
      <c r="H441" s="137">
        <f>Tableau1[[#This Row],[Date début]]</f>
        <v>0</v>
      </c>
    </row>
    <row r="442" spans="1:8">
      <c r="A442" s="133" t="s">
        <v>181</v>
      </c>
      <c r="C442" s="134"/>
      <c r="D442" s="134">
        <f>Tableau1[[#This Row],[Date début]]</f>
        <v>0</v>
      </c>
      <c r="E442" s="136" t="e">
        <f>VLOOKUP(Tableau1[[#This Row],[Type]],LISTES!$A$2:$O$61,2,0)</f>
        <v>#N/A</v>
      </c>
      <c r="F442" s="136">
        <f>NETWORKDAYS.INTL(C442,D442,11,CALENDRIER!AF438:AF449)</f>
        <v>1</v>
      </c>
      <c r="G442" s="134"/>
      <c r="H442" s="137">
        <f>Tableau1[[#This Row],[Date début]]</f>
        <v>0</v>
      </c>
    </row>
    <row r="443" spans="1:8">
      <c r="A443" s="133" t="s">
        <v>181</v>
      </c>
      <c r="C443" s="134"/>
      <c r="D443" s="134">
        <f>Tableau1[[#This Row],[Date début]]</f>
        <v>0</v>
      </c>
      <c r="E443" s="136" t="e">
        <f>VLOOKUP(Tableau1[[#This Row],[Type]],LISTES!$A$2:$O$61,2,0)</f>
        <v>#N/A</v>
      </c>
      <c r="F443" s="136">
        <f>NETWORKDAYS.INTL(C443,D443,11,CALENDRIER!AF439:AF450)</f>
        <v>1</v>
      </c>
      <c r="G443" s="134"/>
      <c r="H443" s="137">
        <f>Tableau1[[#This Row],[Date début]]</f>
        <v>0</v>
      </c>
    </row>
    <row r="444" spans="1:8">
      <c r="A444" s="133" t="s">
        <v>181</v>
      </c>
      <c r="C444" s="134"/>
      <c r="D444" s="134">
        <f>Tableau1[[#This Row],[Date début]]</f>
        <v>0</v>
      </c>
      <c r="E444" s="136" t="e">
        <f>VLOOKUP(Tableau1[[#This Row],[Type]],LISTES!$A$2:$O$61,2,0)</f>
        <v>#N/A</v>
      </c>
      <c r="F444" s="136">
        <f>NETWORKDAYS.INTL(C444,D444,11,CALENDRIER!AF440:AF451)</f>
        <v>1</v>
      </c>
      <c r="G444" s="134"/>
      <c r="H444" s="137">
        <f>Tableau1[[#This Row],[Date début]]</f>
        <v>0</v>
      </c>
    </row>
    <row r="445" spans="1:8">
      <c r="A445" s="133" t="s">
        <v>181</v>
      </c>
      <c r="C445" s="134"/>
      <c r="D445" s="134">
        <f>Tableau1[[#This Row],[Date début]]</f>
        <v>0</v>
      </c>
      <c r="E445" s="136" t="e">
        <f>VLOOKUP(Tableau1[[#This Row],[Type]],LISTES!$A$2:$O$61,2,0)</f>
        <v>#N/A</v>
      </c>
      <c r="F445" s="136">
        <f>NETWORKDAYS.INTL(C445,D445,11,CALENDRIER!AF441:AF452)</f>
        <v>1</v>
      </c>
      <c r="G445" s="134"/>
      <c r="H445" s="137">
        <f>Tableau1[[#This Row],[Date début]]</f>
        <v>0</v>
      </c>
    </row>
    <row r="446" spans="1:8">
      <c r="A446" s="133" t="s">
        <v>181</v>
      </c>
      <c r="C446" s="134"/>
      <c r="D446" s="134">
        <f>Tableau1[[#This Row],[Date début]]</f>
        <v>0</v>
      </c>
      <c r="E446" s="136" t="e">
        <f>VLOOKUP(Tableau1[[#This Row],[Type]],LISTES!$A$2:$O$61,2,0)</f>
        <v>#N/A</v>
      </c>
      <c r="F446" s="136">
        <f>NETWORKDAYS.INTL(C446,D446,11,CALENDRIER!AF442:AF453)</f>
        <v>1</v>
      </c>
      <c r="G446" s="134"/>
      <c r="H446" s="137">
        <f>Tableau1[[#This Row],[Date début]]</f>
        <v>0</v>
      </c>
    </row>
    <row r="447" spans="1:8">
      <c r="A447" s="133" t="s">
        <v>181</v>
      </c>
      <c r="C447" s="134"/>
      <c r="D447" s="134">
        <f>Tableau1[[#This Row],[Date début]]</f>
        <v>0</v>
      </c>
      <c r="E447" s="136" t="e">
        <f>VLOOKUP(Tableau1[[#This Row],[Type]],LISTES!$A$2:$O$61,2,0)</f>
        <v>#N/A</v>
      </c>
      <c r="F447" s="136">
        <f>NETWORKDAYS.INTL(C447,D447,11,CALENDRIER!AF443:AF454)</f>
        <v>1</v>
      </c>
      <c r="G447" s="134"/>
      <c r="H447" s="137">
        <f>Tableau1[[#This Row],[Date début]]</f>
        <v>0</v>
      </c>
    </row>
    <row r="448" spans="1:8">
      <c r="A448" s="133" t="s">
        <v>181</v>
      </c>
      <c r="C448" s="134"/>
      <c r="D448" s="134">
        <f>Tableau1[[#This Row],[Date début]]</f>
        <v>0</v>
      </c>
      <c r="E448" s="136" t="e">
        <f>VLOOKUP(Tableau1[[#This Row],[Type]],LISTES!$A$2:$O$61,2,0)</f>
        <v>#N/A</v>
      </c>
      <c r="F448" s="136">
        <f>NETWORKDAYS.INTL(C448,D448,11,CALENDRIER!AF444:AF455)</f>
        <v>1</v>
      </c>
      <c r="G448" s="134"/>
      <c r="H448" s="137">
        <f>Tableau1[[#This Row],[Date début]]</f>
        <v>0</v>
      </c>
    </row>
    <row r="449" spans="1:8">
      <c r="A449" s="133" t="s">
        <v>181</v>
      </c>
      <c r="C449" s="134"/>
      <c r="D449" s="134">
        <f>Tableau1[[#This Row],[Date début]]</f>
        <v>0</v>
      </c>
      <c r="E449" s="136" t="e">
        <f>VLOOKUP(Tableau1[[#This Row],[Type]],LISTES!$A$2:$O$61,2,0)</f>
        <v>#N/A</v>
      </c>
      <c r="F449" s="136">
        <f>NETWORKDAYS.INTL(C449,D449,11,CALENDRIER!AF445:AF456)</f>
        <v>1</v>
      </c>
      <c r="G449" s="134"/>
      <c r="H449" s="137">
        <f>Tableau1[[#This Row],[Date début]]</f>
        <v>0</v>
      </c>
    </row>
    <row r="450" spans="1:8">
      <c r="A450" s="133" t="s">
        <v>181</v>
      </c>
      <c r="C450" s="134"/>
      <c r="D450" s="134">
        <f>Tableau1[[#This Row],[Date début]]</f>
        <v>0</v>
      </c>
      <c r="E450" s="136" t="e">
        <f>VLOOKUP(Tableau1[[#This Row],[Type]],LISTES!$A$2:$O$61,2,0)</f>
        <v>#N/A</v>
      </c>
      <c r="F450" s="136">
        <f>NETWORKDAYS.INTL(C450,D450,11,CALENDRIER!AF446:AF457)</f>
        <v>1</v>
      </c>
      <c r="G450" s="134"/>
      <c r="H450" s="137">
        <f>Tableau1[[#This Row],[Date début]]</f>
        <v>0</v>
      </c>
    </row>
    <row r="451" spans="1:8">
      <c r="A451" s="133" t="s">
        <v>181</v>
      </c>
      <c r="C451" s="134"/>
      <c r="D451" s="134">
        <f>Tableau1[[#This Row],[Date début]]</f>
        <v>0</v>
      </c>
      <c r="E451" s="136" t="e">
        <f>VLOOKUP(Tableau1[[#This Row],[Type]],LISTES!$A$2:$O$61,2,0)</f>
        <v>#N/A</v>
      </c>
      <c r="F451" s="136">
        <f>NETWORKDAYS.INTL(C451,D451,11,CALENDRIER!AF447:AF458)</f>
        <v>1</v>
      </c>
      <c r="G451" s="134"/>
      <c r="H451" s="137">
        <f>Tableau1[[#This Row],[Date début]]</f>
        <v>0</v>
      </c>
    </row>
    <row r="452" spans="1:8">
      <c r="A452" s="133" t="s">
        <v>181</v>
      </c>
      <c r="C452" s="134"/>
      <c r="D452" s="134">
        <f>Tableau1[[#This Row],[Date début]]</f>
        <v>0</v>
      </c>
      <c r="E452" s="136" t="e">
        <f>VLOOKUP(Tableau1[[#This Row],[Type]],LISTES!$A$2:$O$61,2,0)</f>
        <v>#N/A</v>
      </c>
      <c r="F452" s="136">
        <f>NETWORKDAYS.INTL(C452,D452,11,CALENDRIER!AF448:AF459)</f>
        <v>1</v>
      </c>
      <c r="G452" s="134"/>
      <c r="H452" s="137">
        <f>Tableau1[[#This Row],[Date début]]</f>
        <v>0</v>
      </c>
    </row>
    <row r="453" spans="1:8">
      <c r="A453" s="133" t="s">
        <v>181</v>
      </c>
      <c r="C453" s="134"/>
      <c r="D453" s="134">
        <f>Tableau1[[#This Row],[Date début]]</f>
        <v>0</v>
      </c>
      <c r="E453" s="136" t="e">
        <f>VLOOKUP(Tableau1[[#This Row],[Type]],LISTES!$A$2:$O$61,2,0)</f>
        <v>#N/A</v>
      </c>
      <c r="F453" s="136">
        <f>NETWORKDAYS.INTL(C453,D453,11,CALENDRIER!AF449:AF460)</f>
        <v>1</v>
      </c>
      <c r="G453" s="134"/>
      <c r="H453" s="137">
        <f>Tableau1[[#This Row],[Date début]]</f>
        <v>0</v>
      </c>
    </row>
    <row r="454" spans="1:8">
      <c r="A454" s="133" t="s">
        <v>181</v>
      </c>
      <c r="C454" s="134"/>
      <c r="D454" s="134">
        <f>Tableau1[[#This Row],[Date début]]</f>
        <v>0</v>
      </c>
      <c r="E454" s="136" t="e">
        <f>VLOOKUP(Tableau1[[#This Row],[Type]],LISTES!$A$2:$O$61,2,0)</f>
        <v>#N/A</v>
      </c>
      <c r="F454" s="136">
        <f>NETWORKDAYS.INTL(C454,D454,11,CALENDRIER!AF450:AF461)</f>
        <v>1</v>
      </c>
      <c r="G454" s="134"/>
      <c r="H454" s="137">
        <f>Tableau1[[#This Row],[Date début]]</f>
        <v>0</v>
      </c>
    </row>
    <row r="455" spans="1:8">
      <c r="A455" s="133" t="s">
        <v>181</v>
      </c>
      <c r="C455" s="134"/>
      <c r="D455" s="134">
        <f>Tableau1[[#This Row],[Date début]]</f>
        <v>0</v>
      </c>
      <c r="E455" s="136" t="e">
        <f>VLOOKUP(Tableau1[[#This Row],[Type]],LISTES!$A$2:$O$61,2,0)</f>
        <v>#N/A</v>
      </c>
      <c r="F455" s="136">
        <f>NETWORKDAYS.INTL(C455,D455,11,CALENDRIER!AF451:AF462)</f>
        <v>1</v>
      </c>
      <c r="G455" s="134"/>
      <c r="H455" s="137">
        <f>Tableau1[[#This Row],[Date début]]</f>
        <v>0</v>
      </c>
    </row>
    <row r="456" spans="1:8">
      <c r="A456" s="133" t="s">
        <v>181</v>
      </c>
      <c r="C456" s="134"/>
      <c r="D456" s="134">
        <f>Tableau1[[#This Row],[Date début]]</f>
        <v>0</v>
      </c>
      <c r="E456" s="136" t="e">
        <f>VLOOKUP(Tableau1[[#This Row],[Type]],LISTES!$A$2:$O$61,2,0)</f>
        <v>#N/A</v>
      </c>
      <c r="F456" s="136">
        <f>NETWORKDAYS.INTL(C456,D456,11,CALENDRIER!AF452:AF463)</f>
        <v>1</v>
      </c>
      <c r="G456" s="134"/>
      <c r="H456" s="137">
        <f>Tableau1[[#This Row],[Date début]]</f>
        <v>0</v>
      </c>
    </row>
    <row r="457" spans="1:8">
      <c r="A457" s="133" t="s">
        <v>181</v>
      </c>
      <c r="C457" s="134"/>
      <c r="D457" s="134">
        <f>Tableau1[[#This Row],[Date début]]</f>
        <v>0</v>
      </c>
      <c r="E457" s="136" t="e">
        <f>VLOOKUP(Tableau1[[#This Row],[Type]],LISTES!$A$2:$O$61,2,0)</f>
        <v>#N/A</v>
      </c>
      <c r="F457" s="136">
        <f>NETWORKDAYS.INTL(C457,D457,11,CALENDRIER!AF453:AF464)</f>
        <v>1</v>
      </c>
      <c r="G457" s="134"/>
      <c r="H457" s="137">
        <f>Tableau1[[#This Row],[Date début]]</f>
        <v>0</v>
      </c>
    </row>
    <row r="458" spans="1:8">
      <c r="A458" s="133" t="s">
        <v>181</v>
      </c>
      <c r="C458" s="134"/>
      <c r="D458" s="134">
        <f>Tableau1[[#This Row],[Date début]]</f>
        <v>0</v>
      </c>
      <c r="E458" s="136" t="e">
        <f>VLOOKUP(Tableau1[[#This Row],[Type]],LISTES!$A$2:$O$61,2,0)</f>
        <v>#N/A</v>
      </c>
      <c r="F458" s="136">
        <f>NETWORKDAYS.INTL(C458,D458,11,CALENDRIER!AF454:AF465)</f>
        <v>1</v>
      </c>
      <c r="G458" s="134"/>
      <c r="H458" s="137">
        <f>Tableau1[[#This Row],[Date début]]</f>
        <v>0</v>
      </c>
    </row>
    <row r="459" spans="1:8">
      <c r="A459" s="133" t="s">
        <v>181</v>
      </c>
      <c r="C459" s="134"/>
      <c r="D459" s="134">
        <f>Tableau1[[#This Row],[Date début]]</f>
        <v>0</v>
      </c>
      <c r="E459" s="136" t="e">
        <f>VLOOKUP(Tableau1[[#This Row],[Type]],LISTES!$A$2:$O$61,2,0)</f>
        <v>#N/A</v>
      </c>
      <c r="F459" s="136">
        <f>NETWORKDAYS.INTL(C459,D459,11,CALENDRIER!AF455:AF466)</f>
        <v>1</v>
      </c>
      <c r="G459" s="134"/>
      <c r="H459" s="137">
        <f>Tableau1[[#This Row],[Date début]]</f>
        <v>0</v>
      </c>
    </row>
    <row r="460" spans="1:8">
      <c r="A460" s="133" t="s">
        <v>181</v>
      </c>
      <c r="C460" s="134"/>
      <c r="D460" s="134">
        <f>Tableau1[[#This Row],[Date début]]</f>
        <v>0</v>
      </c>
      <c r="E460" s="136" t="e">
        <f>VLOOKUP(Tableau1[[#This Row],[Type]],LISTES!$A$2:$O$61,2,0)</f>
        <v>#N/A</v>
      </c>
      <c r="F460" s="136">
        <f>NETWORKDAYS.INTL(C460,D460,11,CALENDRIER!AF456:AF467)</f>
        <v>1</v>
      </c>
      <c r="G460" s="134"/>
      <c r="H460" s="137">
        <f>Tableau1[[#This Row],[Date début]]</f>
        <v>0</v>
      </c>
    </row>
    <row r="461" spans="1:8">
      <c r="A461" s="133" t="s">
        <v>181</v>
      </c>
      <c r="C461" s="134"/>
      <c r="D461" s="134">
        <f>Tableau1[[#This Row],[Date début]]</f>
        <v>0</v>
      </c>
      <c r="E461" s="136" t="e">
        <f>VLOOKUP(Tableau1[[#This Row],[Type]],LISTES!$A$2:$O$61,2,0)</f>
        <v>#N/A</v>
      </c>
      <c r="F461" s="136">
        <f>NETWORKDAYS.INTL(C461,D461,11,CALENDRIER!AF457:AF468)</f>
        <v>1</v>
      </c>
      <c r="G461" s="134"/>
      <c r="H461" s="137">
        <f>Tableau1[[#This Row],[Date début]]</f>
        <v>0</v>
      </c>
    </row>
    <row r="462" spans="1:8">
      <c r="A462" s="133" t="s">
        <v>181</v>
      </c>
      <c r="C462" s="134"/>
      <c r="D462" s="134">
        <f>Tableau1[[#This Row],[Date début]]</f>
        <v>0</v>
      </c>
      <c r="E462" s="136" t="e">
        <f>VLOOKUP(Tableau1[[#This Row],[Type]],LISTES!$A$2:$O$61,2,0)</f>
        <v>#N/A</v>
      </c>
      <c r="F462" s="136">
        <f>NETWORKDAYS.INTL(C462,D462,11,CALENDRIER!AF458:AF469)</f>
        <v>1</v>
      </c>
      <c r="G462" s="134"/>
      <c r="H462" s="137">
        <f>Tableau1[[#This Row],[Date début]]</f>
        <v>0</v>
      </c>
    </row>
    <row r="463" spans="1:8">
      <c r="A463" s="133" t="s">
        <v>181</v>
      </c>
      <c r="C463" s="134"/>
      <c r="D463" s="134">
        <f>Tableau1[[#This Row],[Date début]]</f>
        <v>0</v>
      </c>
      <c r="E463" s="136" t="e">
        <f>VLOOKUP(Tableau1[[#This Row],[Type]],LISTES!$A$2:$O$61,2,0)</f>
        <v>#N/A</v>
      </c>
      <c r="F463" s="136">
        <f>NETWORKDAYS.INTL(C463,D463,11,CALENDRIER!AF459:AF470)</f>
        <v>1</v>
      </c>
      <c r="G463" s="134"/>
      <c r="H463" s="137">
        <f>Tableau1[[#This Row],[Date début]]</f>
        <v>0</v>
      </c>
    </row>
    <row r="464" spans="1:8">
      <c r="A464" s="133" t="s">
        <v>181</v>
      </c>
      <c r="C464" s="134"/>
      <c r="D464" s="134">
        <f>Tableau1[[#This Row],[Date début]]</f>
        <v>0</v>
      </c>
      <c r="E464" s="136" t="e">
        <f>VLOOKUP(Tableau1[[#This Row],[Type]],LISTES!$A$2:$O$61,2,0)</f>
        <v>#N/A</v>
      </c>
      <c r="F464" s="136">
        <f>NETWORKDAYS.INTL(C464,D464,11,CALENDRIER!AF460:AF471)</f>
        <v>1</v>
      </c>
      <c r="G464" s="134"/>
      <c r="H464" s="137">
        <f>Tableau1[[#This Row],[Date début]]</f>
        <v>0</v>
      </c>
    </row>
    <row r="465" spans="1:8">
      <c r="A465" s="133" t="s">
        <v>181</v>
      </c>
      <c r="C465" s="134"/>
      <c r="D465" s="134">
        <f>Tableau1[[#This Row],[Date début]]</f>
        <v>0</v>
      </c>
      <c r="E465" s="136" t="e">
        <f>VLOOKUP(Tableau1[[#This Row],[Type]],LISTES!$A$2:$O$61,2,0)</f>
        <v>#N/A</v>
      </c>
      <c r="F465" s="136">
        <f>NETWORKDAYS.INTL(C465,D465,11,CALENDRIER!AF461:AF472)</f>
        <v>1</v>
      </c>
      <c r="G465" s="134"/>
      <c r="H465" s="137">
        <f>Tableau1[[#This Row],[Date début]]</f>
        <v>0</v>
      </c>
    </row>
    <row r="466" spans="1:8">
      <c r="A466" s="133" t="s">
        <v>181</v>
      </c>
      <c r="C466" s="134"/>
      <c r="D466" s="134">
        <f>Tableau1[[#This Row],[Date début]]</f>
        <v>0</v>
      </c>
      <c r="E466" s="136" t="e">
        <f>VLOOKUP(Tableau1[[#This Row],[Type]],LISTES!$A$2:$O$61,2,0)</f>
        <v>#N/A</v>
      </c>
      <c r="F466" s="136">
        <f>NETWORKDAYS.INTL(C466,D466,11,CALENDRIER!AF462:AF473)</f>
        <v>1</v>
      </c>
      <c r="G466" s="134"/>
      <c r="H466" s="137">
        <f>Tableau1[[#This Row],[Date début]]</f>
        <v>0</v>
      </c>
    </row>
    <row r="467" spans="1:8">
      <c r="A467" s="133" t="s">
        <v>181</v>
      </c>
      <c r="C467" s="134"/>
      <c r="D467" s="134">
        <f>Tableau1[[#This Row],[Date début]]</f>
        <v>0</v>
      </c>
      <c r="E467" s="136" t="e">
        <f>VLOOKUP(Tableau1[[#This Row],[Type]],LISTES!$A$2:$O$61,2,0)</f>
        <v>#N/A</v>
      </c>
      <c r="F467" s="136">
        <f>NETWORKDAYS.INTL(C467,D467,11,CALENDRIER!AF463:AF474)</f>
        <v>1</v>
      </c>
      <c r="G467" s="134"/>
      <c r="H467" s="137">
        <f>Tableau1[[#This Row],[Date début]]</f>
        <v>0</v>
      </c>
    </row>
    <row r="468" spans="1:8">
      <c r="A468" s="133" t="s">
        <v>181</v>
      </c>
      <c r="C468" s="134"/>
      <c r="D468" s="134">
        <f>Tableau1[[#This Row],[Date début]]</f>
        <v>0</v>
      </c>
      <c r="E468" s="136" t="e">
        <f>VLOOKUP(Tableau1[[#This Row],[Type]],LISTES!$A$2:$O$61,2,0)</f>
        <v>#N/A</v>
      </c>
      <c r="F468" s="136">
        <f>NETWORKDAYS.INTL(C468,D468,11,CALENDRIER!AF464:AF475)</f>
        <v>1</v>
      </c>
      <c r="G468" s="134"/>
      <c r="H468" s="137">
        <f>Tableau1[[#This Row],[Date début]]</f>
        <v>0</v>
      </c>
    </row>
    <row r="469" spans="1:8">
      <c r="A469" s="133" t="s">
        <v>181</v>
      </c>
      <c r="C469" s="134"/>
      <c r="D469" s="134">
        <f>Tableau1[[#This Row],[Date début]]</f>
        <v>0</v>
      </c>
      <c r="E469" s="136" t="e">
        <f>VLOOKUP(Tableau1[[#This Row],[Type]],LISTES!$A$2:$O$61,2,0)</f>
        <v>#N/A</v>
      </c>
      <c r="F469" s="136">
        <f>NETWORKDAYS.INTL(C469,D469,11,CALENDRIER!AF465:AF476)</f>
        <v>1</v>
      </c>
      <c r="G469" s="134"/>
      <c r="H469" s="137">
        <f>Tableau1[[#This Row],[Date début]]</f>
        <v>0</v>
      </c>
    </row>
    <row r="470" spans="1:8">
      <c r="A470" s="133" t="s">
        <v>181</v>
      </c>
      <c r="C470" s="134"/>
      <c r="D470" s="134">
        <f>Tableau1[[#This Row],[Date début]]</f>
        <v>0</v>
      </c>
      <c r="E470" s="136" t="e">
        <f>VLOOKUP(Tableau1[[#This Row],[Type]],LISTES!$A$2:$O$61,2,0)</f>
        <v>#N/A</v>
      </c>
      <c r="F470" s="136">
        <f>NETWORKDAYS.INTL(C470,D470,11,CALENDRIER!AF466:AF477)</f>
        <v>1</v>
      </c>
      <c r="G470" s="134"/>
      <c r="H470" s="137">
        <f>Tableau1[[#This Row],[Date début]]</f>
        <v>0</v>
      </c>
    </row>
    <row r="471" spans="1:8">
      <c r="A471" s="133" t="s">
        <v>181</v>
      </c>
      <c r="C471" s="134"/>
      <c r="D471" s="134">
        <f>Tableau1[[#This Row],[Date début]]</f>
        <v>0</v>
      </c>
      <c r="E471" s="136" t="e">
        <f>VLOOKUP(Tableau1[[#This Row],[Type]],LISTES!$A$2:$O$61,2,0)</f>
        <v>#N/A</v>
      </c>
      <c r="F471" s="136">
        <f>NETWORKDAYS.INTL(C471,D471,11,CALENDRIER!AF467:AF478)</f>
        <v>1</v>
      </c>
      <c r="G471" s="134"/>
      <c r="H471" s="137">
        <f>Tableau1[[#This Row],[Date début]]</f>
        <v>0</v>
      </c>
    </row>
    <row r="472" spans="1:8">
      <c r="A472" s="133" t="s">
        <v>181</v>
      </c>
      <c r="C472" s="134"/>
      <c r="D472" s="134">
        <f>Tableau1[[#This Row],[Date début]]</f>
        <v>0</v>
      </c>
      <c r="E472" s="136" t="e">
        <f>VLOOKUP(Tableau1[[#This Row],[Type]],LISTES!$A$2:$O$61,2,0)</f>
        <v>#N/A</v>
      </c>
      <c r="F472" s="136">
        <f>NETWORKDAYS.INTL(C472,D472,11,CALENDRIER!AF468:AF479)</f>
        <v>1</v>
      </c>
      <c r="G472" s="134"/>
      <c r="H472" s="137">
        <f>Tableau1[[#This Row],[Date début]]</f>
        <v>0</v>
      </c>
    </row>
    <row r="473" spans="1:8">
      <c r="A473" s="133" t="s">
        <v>181</v>
      </c>
      <c r="C473" s="134"/>
      <c r="D473" s="134">
        <f>Tableau1[[#This Row],[Date début]]</f>
        <v>0</v>
      </c>
      <c r="E473" s="136" t="e">
        <f>VLOOKUP(Tableau1[[#This Row],[Type]],LISTES!$A$2:$O$61,2,0)</f>
        <v>#N/A</v>
      </c>
      <c r="F473" s="136">
        <f>NETWORKDAYS.INTL(C473,D473,11,CALENDRIER!AF469:AF480)</f>
        <v>1</v>
      </c>
      <c r="G473" s="134"/>
      <c r="H473" s="137">
        <f>Tableau1[[#This Row],[Date début]]</f>
        <v>0</v>
      </c>
    </row>
    <row r="474" spans="1:8">
      <c r="A474" s="133" t="s">
        <v>181</v>
      </c>
      <c r="C474" s="134"/>
      <c r="D474" s="134">
        <f>Tableau1[[#This Row],[Date début]]</f>
        <v>0</v>
      </c>
      <c r="E474" s="136" t="e">
        <f>VLOOKUP(Tableau1[[#This Row],[Type]],LISTES!$A$2:$O$61,2,0)</f>
        <v>#N/A</v>
      </c>
      <c r="F474" s="136">
        <f>NETWORKDAYS.INTL(C474,D474,11,CALENDRIER!AF470:AF481)</f>
        <v>1</v>
      </c>
      <c r="G474" s="134"/>
      <c r="H474" s="137">
        <f>Tableau1[[#This Row],[Date début]]</f>
        <v>0</v>
      </c>
    </row>
    <row r="475" spans="1:8">
      <c r="A475" s="133" t="s">
        <v>181</v>
      </c>
      <c r="C475" s="134"/>
      <c r="D475" s="134">
        <f>Tableau1[[#This Row],[Date début]]</f>
        <v>0</v>
      </c>
      <c r="E475" s="136" t="e">
        <f>VLOOKUP(Tableau1[[#This Row],[Type]],LISTES!$A$2:$O$61,2,0)</f>
        <v>#N/A</v>
      </c>
      <c r="F475" s="136">
        <f>NETWORKDAYS.INTL(C475,D475,11,CALENDRIER!AF471:AF482)</f>
        <v>1</v>
      </c>
      <c r="G475" s="134"/>
      <c r="H475" s="137">
        <f>Tableau1[[#This Row],[Date début]]</f>
        <v>0</v>
      </c>
    </row>
    <row r="476" spans="1:8">
      <c r="A476" s="133" t="s">
        <v>181</v>
      </c>
      <c r="C476" s="134"/>
      <c r="D476" s="134">
        <f>Tableau1[[#This Row],[Date début]]</f>
        <v>0</v>
      </c>
      <c r="E476" s="136" t="e">
        <f>VLOOKUP(Tableau1[[#This Row],[Type]],LISTES!$A$2:$O$61,2,0)</f>
        <v>#N/A</v>
      </c>
      <c r="F476" s="136">
        <f>NETWORKDAYS.INTL(C476,D476,11,CALENDRIER!AF472:AF483)</f>
        <v>1</v>
      </c>
      <c r="G476" s="134"/>
      <c r="H476" s="137">
        <f>Tableau1[[#This Row],[Date début]]</f>
        <v>0</v>
      </c>
    </row>
    <row r="477" spans="1:8">
      <c r="A477" s="133" t="s">
        <v>181</v>
      </c>
      <c r="C477" s="134"/>
      <c r="D477" s="134">
        <f>Tableau1[[#This Row],[Date début]]</f>
        <v>0</v>
      </c>
      <c r="E477" s="136" t="e">
        <f>VLOOKUP(Tableau1[[#This Row],[Type]],LISTES!$A$2:$O$61,2,0)</f>
        <v>#N/A</v>
      </c>
      <c r="F477" s="136">
        <f>NETWORKDAYS.INTL(C477,D477,11,CALENDRIER!AF473:AF484)</f>
        <v>1</v>
      </c>
      <c r="G477" s="134"/>
      <c r="H477" s="137">
        <f>Tableau1[[#This Row],[Date début]]</f>
        <v>0</v>
      </c>
    </row>
    <row r="478" spans="1:8">
      <c r="A478" s="133" t="s">
        <v>181</v>
      </c>
      <c r="C478" s="134"/>
      <c r="D478" s="134">
        <f>Tableau1[[#This Row],[Date début]]</f>
        <v>0</v>
      </c>
      <c r="E478" s="136" t="e">
        <f>VLOOKUP(Tableau1[[#This Row],[Type]],LISTES!$A$2:$O$61,2,0)</f>
        <v>#N/A</v>
      </c>
      <c r="F478" s="136">
        <f>NETWORKDAYS.INTL(C478,D478,11,CALENDRIER!AF474:AF485)</f>
        <v>1</v>
      </c>
      <c r="G478" s="134"/>
      <c r="H478" s="137">
        <f>Tableau1[[#This Row],[Date début]]</f>
        <v>0</v>
      </c>
    </row>
    <row r="479" spans="1:8">
      <c r="A479" s="133" t="s">
        <v>181</v>
      </c>
      <c r="C479" s="134"/>
      <c r="D479" s="134">
        <f>Tableau1[[#This Row],[Date début]]</f>
        <v>0</v>
      </c>
      <c r="E479" s="136" t="e">
        <f>VLOOKUP(Tableau1[[#This Row],[Type]],LISTES!$A$2:$O$61,2,0)</f>
        <v>#N/A</v>
      </c>
      <c r="F479" s="136">
        <f>NETWORKDAYS.INTL(C479,D479,11,CALENDRIER!AF475:AF486)</f>
        <v>1</v>
      </c>
      <c r="G479" s="134"/>
      <c r="H479" s="137">
        <f>Tableau1[[#This Row],[Date début]]</f>
        <v>0</v>
      </c>
    </row>
    <row r="480" spans="1:8">
      <c r="A480" s="133" t="s">
        <v>181</v>
      </c>
      <c r="C480" s="134"/>
      <c r="D480" s="134">
        <f>Tableau1[[#This Row],[Date début]]</f>
        <v>0</v>
      </c>
      <c r="E480" s="136" t="e">
        <f>VLOOKUP(Tableau1[[#This Row],[Type]],LISTES!$A$2:$O$61,2,0)</f>
        <v>#N/A</v>
      </c>
      <c r="F480" s="136">
        <f>NETWORKDAYS.INTL(C480,D480,11,CALENDRIER!AF476:AF487)</f>
        <v>1</v>
      </c>
      <c r="G480" s="134"/>
      <c r="H480" s="137">
        <f>Tableau1[[#This Row],[Date début]]</f>
        <v>0</v>
      </c>
    </row>
    <row r="481" spans="1:8">
      <c r="A481" s="133" t="s">
        <v>181</v>
      </c>
      <c r="C481" s="134"/>
      <c r="D481" s="134">
        <f>Tableau1[[#This Row],[Date début]]</f>
        <v>0</v>
      </c>
      <c r="E481" s="136" t="e">
        <f>VLOOKUP(Tableau1[[#This Row],[Type]],LISTES!$A$2:$O$61,2,0)</f>
        <v>#N/A</v>
      </c>
      <c r="F481" s="136">
        <f>NETWORKDAYS.INTL(C481,D481,11,CALENDRIER!AF477:AF488)</f>
        <v>1</v>
      </c>
      <c r="G481" s="134"/>
      <c r="H481" s="137">
        <f>Tableau1[[#This Row],[Date début]]</f>
        <v>0</v>
      </c>
    </row>
    <row r="482" spans="1:8">
      <c r="A482" s="133" t="s">
        <v>181</v>
      </c>
      <c r="C482" s="134"/>
      <c r="D482" s="134">
        <f>Tableau1[[#This Row],[Date début]]</f>
        <v>0</v>
      </c>
      <c r="E482" s="136" t="e">
        <f>VLOOKUP(Tableau1[[#This Row],[Type]],LISTES!$A$2:$O$61,2,0)</f>
        <v>#N/A</v>
      </c>
      <c r="F482" s="136">
        <f>NETWORKDAYS.INTL(C482,D482,11,CALENDRIER!AF478:AF489)</f>
        <v>1</v>
      </c>
      <c r="G482" s="134"/>
      <c r="H482" s="137">
        <f>Tableau1[[#This Row],[Date début]]</f>
        <v>0</v>
      </c>
    </row>
    <row r="483" spans="1:8">
      <c r="A483" s="133" t="s">
        <v>181</v>
      </c>
      <c r="C483" s="134"/>
      <c r="D483" s="134">
        <f>Tableau1[[#This Row],[Date début]]</f>
        <v>0</v>
      </c>
      <c r="E483" s="136" t="e">
        <f>VLOOKUP(Tableau1[[#This Row],[Type]],LISTES!$A$2:$O$61,2,0)</f>
        <v>#N/A</v>
      </c>
      <c r="F483" s="136">
        <f>NETWORKDAYS.INTL(C483,D483,11,CALENDRIER!AF479:AF490)</f>
        <v>1</v>
      </c>
      <c r="G483" s="134"/>
      <c r="H483" s="137">
        <f>Tableau1[[#This Row],[Date début]]</f>
        <v>0</v>
      </c>
    </row>
    <row r="484" spans="1:8">
      <c r="A484" s="133" t="s">
        <v>181</v>
      </c>
      <c r="C484" s="134"/>
      <c r="D484" s="134">
        <f>Tableau1[[#This Row],[Date début]]</f>
        <v>0</v>
      </c>
      <c r="E484" s="136" t="e">
        <f>VLOOKUP(Tableau1[[#This Row],[Type]],LISTES!$A$2:$O$61,2,0)</f>
        <v>#N/A</v>
      </c>
      <c r="F484" s="136">
        <f>NETWORKDAYS.INTL(C484,D484,11,CALENDRIER!AF480:AF491)</f>
        <v>1</v>
      </c>
      <c r="G484" s="134"/>
      <c r="H484" s="137">
        <f>Tableau1[[#This Row],[Date début]]</f>
        <v>0</v>
      </c>
    </row>
    <row r="485" spans="1:8">
      <c r="A485" s="133" t="s">
        <v>181</v>
      </c>
      <c r="C485" s="134"/>
      <c r="D485" s="134">
        <f>Tableau1[[#This Row],[Date début]]</f>
        <v>0</v>
      </c>
      <c r="E485" s="136" t="e">
        <f>VLOOKUP(Tableau1[[#This Row],[Type]],LISTES!$A$2:$O$61,2,0)</f>
        <v>#N/A</v>
      </c>
      <c r="F485" s="136">
        <f>NETWORKDAYS.INTL(C485,D485,11,CALENDRIER!AF481:AF492)</f>
        <v>1</v>
      </c>
      <c r="G485" s="134"/>
      <c r="H485" s="137">
        <f>Tableau1[[#This Row],[Date début]]</f>
        <v>0</v>
      </c>
    </row>
    <row r="486" spans="1:8">
      <c r="A486" s="133" t="s">
        <v>181</v>
      </c>
      <c r="C486" s="134"/>
      <c r="D486" s="134">
        <f>Tableau1[[#This Row],[Date début]]</f>
        <v>0</v>
      </c>
      <c r="E486" s="136" t="e">
        <f>VLOOKUP(Tableau1[[#This Row],[Type]],LISTES!$A$2:$O$61,2,0)</f>
        <v>#N/A</v>
      </c>
      <c r="F486" s="136">
        <f>NETWORKDAYS.INTL(C486,D486,11,CALENDRIER!AF482:AF493)</f>
        <v>1</v>
      </c>
      <c r="G486" s="134"/>
      <c r="H486" s="137">
        <f>Tableau1[[#This Row],[Date début]]</f>
        <v>0</v>
      </c>
    </row>
    <row r="487" spans="1:8">
      <c r="A487" s="133" t="s">
        <v>181</v>
      </c>
      <c r="C487" s="134"/>
      <c r="D487" s="134">
        <f>Tableau1[[#This Row],[Date début]]</f>
        <v>0</v>
      </c>
      <c r="E487" s="136" t="e">
        <f>VLOOKUP(Tableau1[[#This Row],[Type]],LISTES!$A$2:$O$61,2,0)</f>
        <v>#N/A</v>
      </c>
      <c r="F487" s="136">
        <f>NETWORKDAYS.INTL(C487,D487,11,CALENDRIER!AF483:AF494)</f>
        <v>1</v>
      </c>
      <c r="G487" s="134"/>
      <c r="H487" s="137">
        <f>Tableau1[[#This Row],[Date début]]</f>
        <v>0</v>
      </c>
    </row>
    <row r="488" spans="1:8">
      <c r="A488" s="133" t="s">
        <v>181</v>
      </c>
      <c r="C488" s="134"/>
      <c r="D488" s="134">
        <f>Tableau1[[#This Row],[Date début]]</f>
        <v>0</v>
      </c>
      <c r="E488" s="136" t="e">
        <f>VLOOKUP(Tableau1[[#This Row],[Type]],LISTES!$A$2:$O$61,2,0)</f>
        <v>#N/A</v>
      </c>
      <c r="F488" s="136">
        <f>NETWORKDAYS.INTL(C488,D488,11,CALENDRIER!AF484:AF495)</f>
        <v>1</v>
      </c>
      <c r="G488" s="134"/>
      <c r="H488" s="137">
        <f>Tableau1[[#This Row],[Date début]]</f>
        <v>0</v>
      </c>
    </row>
    <row r="489" spans="1:8">
      <c r="A489" s="133" t="s">
        <v>181</v>
      </c>
      <c r="C489" s="134"/>
      <c r="D489" s="134">
        <f>Tableau1[[#This Row],[Date début]]</f>
        <v>0</v>
      </c>
      <c r="E489" s="136" t="e">
        <f>VLOOKUP(Tableau1[[#This Row],[Type]],LISTES!$A$2:$O$61,2,0)</f>
        <v>#N/A</v>
      </c>
      <c r="F489" s="136">
        <f>NETWORKDAYS.INTL(C489,D489,11,CALENDRIER!AF485:AF496)</f>
        <v>1</v>
      </c>
      <c r="G489" s="134"/>
      <c r="H489" s="137">
        <f>Tableau1[[#This Row],[Date début]]</f>
        <v>0</v>
      </c>
    </row>
    <row r="490" spans="1:8">
      <c r="A490" s="133" t="s">
        <v>181</v>
      </c>
      <c r="C490" s="134"/>
      <c r="D490" s="134">
        <f>Tableau1[[#This Row],[Date début]]</f>
        <v>0</v>
      </c>
      <c r="E490" s="136" t="e">
        <f>VLOOKUP(Tableau1[[#This Row],[Type]],LISTES!$A$2:$O$61,2,0)</f>
        <v>#N/A</v>
      </c>
      <c r="F490" s="136">
        <f>NETWORKDAYS.INTL(C490,D490,11,CALENDRIER!AF486:AF497)</f>
        <v>1</v>
      </c>
      <c r="G490" s="134"/>
      <c r="H490" s="137">
        <f>Tableau1[[#This Row],[Date début]]</f>
        <v>0</v>
      </c>
    </row>
    <row r="491" spans="1:8">
      <c r="A491" s="133" t="s">
        <v>181</v>
      </c>
      <c r="C491" s="134"/>
      <c r="D491" s="134">
        <f>Tableau1[[#This Row],[Date début]]</f>
        <v>0</v>
      </c>
      <c r="E491" s="136" t="e">
        <f>VLOOKUP(Tableau1[[#This Row],[Type]],LISTES!$A$2:$O$61,2,0)</f>
        <v>#N/A</v>
      </c>
      <c r="F491" s="136">
        <f>NETWORKDAYS.INTL(C491,D491,11,CALENDRIER!AF487:AF498)</f>
        <v>1</v>
      </c>
      <c r="G491" s="134"/>
      <c r="H491" s="137">
        <f>Tableau1[[#This Row],[Date début]]</f>
        <v>0</v>
      </c>
    </row>
    <row r="492" spans="1:8">
      <c r="A492" s="133" t="s">
        <v>181</v>
      </c>
      <c r="C492" s="134"/>
      <c r="D492" s="134">
        <f>Tableau1[[#This Row],[Date début]]</f>
        <v>0</v>
      </c>
      <c r="E492" s="136" t="e">
        <f>VLOOKUP(Tableau1[[#This Row],[Type]],LISTES!$A$2:$O$61,2,0)</f>
        <v>#N/A</v>
      </c>
      <c r="F492" s="136">
        <f>NETWORKDAYS.INTL(C492,D492,11,CALENDRIER!AF488:AF499)</f>
        <v>1</v>
      </c>
      <c r="G492" s="134"/>
      <c r="H492" s="137">
        <f>Tableau1[[#This Row],[Date début]]</f>
        <v>0</v>
      </c>
    </row>
    <row r="493" spans="1:8">
      <c r="A493" s="133" t="s">
        <v>181</v>
      </c>
      <c r="C493" s="134"/>
      <c r="D493" s="134">
        <f>Tableau1[[#This Row],[Date début]]</f>
        <v>0</v>
      </c>
      <c r="E493" s="136" t="e">
        <f>VLOOKUP(Tableau1[[#This Row],[Type]],LISTES!$A$2:$O$61,2,0)</f>
        <v>#N/A</v>
      </c>
      <c r="F493" s="136">
        <f>NETWORKDAYS.INTL(C493,D493,11,CALENDRIER!AF489:AF500)</f>
        <v>1</v>
      </c>
      <c r="G493" s="134"/>
      <c r="H493" s="137">
        <f>Tableau1[[#This Row],[Date début]]</f>
        <v>0</v>
      </c>
    </row>
    <row r="494" spans="1:8">
      <c r="A494" s="133" t="s">
        <v>181</v>
      </c>
      <c r="C494" s="134"/>
      <c r="D494" s="134">
        <f>Tableau1[[#This Row],[Date début]]</f>
        <v>0</v>
      </c>
      <c r="E494" s="136" t="e">
        <f>VLOOKUP(Tableau1[[#This Row],[Type]],LISTES!$A$2:$O$61,2,0)</f>
        <v>#N/A</v>
      </c>
      <c r="F494" s="136">
        <f>NETWORKDAYS.INTL(C494,D494,11,CALENDRIER!AF490:AF501)</f>
        <v>1</v>
      </c>
      <c r="G494" s="134"/>
      <c r="H494" s="137">
        <f>Tableau1[[#This Row],[Date début]]</f>
        <v>0</v>
      </c>
    </row>
    <row r="495" spans="1:8">
      <c r="A495" s="133" t="s">
        <v>181</v>
      </c>
      <c r="C495" s="134"/>
      <c r="D495" s="134">
        <f>Tableau1[[#This Row],[Date début]]</f>
        <v>0</v>
      </c>
      <c r="E495" s="136" t="e">
        <f>VLOOKUP(Tableau1[[#This Row],[Type]],LISTES!$A$2:$O$61,2,0)</f>
        <v>#N/A</v>
      </c>
      <c r="F495" s="136">
        <f>NETWORKDAYS.INTL(C495,D495,11,CALENDRIER!AF491:AF502)</f>
        <v>1</v>
      </c>
      <c r="G495" s="134"/>
      <c r="H495" s="137">
        <f>Tableau1[[#This Row],[Date début]]</f>
        <v>0</v>
      </c>
    </row>
    <row r="496" spans="1:8">
      <c r="A496" s="133" t="s">
        <v>181</v>
      </c>
      <c r="C496" s="134"/>
      <c r="D496" s="134">
        <f>Tableau1[[#This Row],[Date début]]</f>
        <v>0</v>
      </c>
      <c r="E496" s="136" t="e">
        <f>VLOOKUP(Tableau1[[#This Row],[Type]],LISTES!$A$2:$O$61,2,0)</f>
        <v>#N/A</v>
      </c>
      <c r="F496" s="136">
        <f>NETWORKDAYS.INTL(C496,D496,11,CALENDRIER!AF492:AF503)</f>
        <v>1</v>
      </c>
      <c r="G496" s="134"/>
      <c r="H496" s="137">
        <f>Tableau1[[#This Row],[Date début]]</f>
        <v>0</v>
      </c>
    </row>
    <row r="497" spans="1:8">
      <c r="A497" s="133" t="s">
        <v>181</v>
      </c>
      <c r="C497" s="134"/>
      <c r="D497" s="134">
        <f>Tableau1[[#This Row],[Date début]]</f>
        <v>0</v>
      </c>
      <c r="E497" s="136" t="e">
        <f>VLOOKUP(Tableau1[[#This Row],[Type]],LISTES!$A$2:$O$61,2,0)</f>
        <v>#N/A</v>
      </c>
      <c r="F497" s="136">
        <f>NETWORKDAYS.INTL(C497,D497,11,CALENDRIER!AF493:AF504)</f>
        <v>1</v>
      </c>
      <c r="G497" s="134"/>
      <c r="H497" s="137">
        <f>Tableau1[[#This Row],[Date début]]</f>
        <v>0</v>
      </c>
    </row>
    <row r="498" spans="1:8">
      <c r="A498" s="133" t="s">
        <v>181</v>
      </c>
      <c r="C498" s="134"/>
      <c r="D498" s="134">
        <f>Tableau1[[#This Row],[Date début]]</f>
        <v>0</v>
      </c>
      <c r="E498" s="136" t="e">
        <f>VLOOKUP(Tableau1[[#This Row],[Type]],LISTES!$A$2:$O$61,2,0)</f>
        <v>#N/A</v>
      </c>
      <c r="F498" s="136">
        <f>NETWORKDAYS.INTL(C498,D498,11,CALENDRIER!AF494:AF505)</f>
        <v>1</v>
      </c>
      <c r="G498" s="134"/>
      <c r="H498" s="137">
        <f>Tableau1[[#This Row],[Date début]]</f>
        <v>0</v>
      </c>
    </row>
    <row r="499" spans="1:8">
      <c r="A499" s="133" t="s">
        <v>181</v>
      </c>
      <c r="C499" s="134"/>
      <c r="D499" s="134">
        <f>Tableau1[[#This Row],[Date début]]</f>
        <v>0</v>
      </c>
      <c r="E499" s="136" t="e">
        <f>VLOOKUP(Tableau1[[#This Row],[Type]],LISTES!$A$2:$O$61,2,0)</f>
        <v>#N/A</v>
      </c>
      <c r="F499" s="136">
        <f>NETWORKDAYS.INTL(C499,D499,11,CALENDRIER!AF495:AF506)</f>
        <v>1</v>
      </c>
      <c r="G499" s="134"/>
      <c r="H499" s="137">
        <f>Tableau1[[#This Row],[Date début]]</f>
        <v>0</v>
      </c>
    </row>
    <row r="500" spans="1:8">
      <c r="A500" s="133" t="s">
        <v>181</v>
      </c>
      <c r="C500" s="134"/>
      <c r="D500" s="134">
        <f>Tableau1[[#This Row],[Date début]]</f>
        <v>0</v>
      </c>
      <c r="E500" s="136" t="e">
        <f>VLOOKUP(Tableau1[[#This Row],[Type]],LISTES!$A$2:$O$61,2,0)</f>
        <v>#N/A</v>
      </c>
      <c r="F500" s="136">
        <f>NETWORKDAYS.INTL(C500,D500,11,CALENDRIER!AF496:AF507)</f>
        <v>1</v>
      </c>
      <c r="G500" s="134"/>
      <c r="H500" s="137">
        <f>Tableau1[[#This Row],[Date début]]</f>
        <v>0</v>
      </c>
    </row>
    <row r="501" spans="1:8">
      <c r="A501" s="133" t="s">
        <v>181</v>
      </c>
      <c r="C501" s="134"/>
      <c r="D501" s="134">
        <f>Tableau1[[#This Row],[Date début]]</f>
        <v>0</v>
      </c>
      <c r="E501" s="136" t="e">
        <f>VLOOKUP(Tableau1[[#This Row],[Type]],LISTES!$A$2:$O$61,2,0)</f>
        <v>#N/A</v>
      </c>
      <c r="F501" s="136">
        <f>NETWORKDAYS.INTL(C501,D501,11,CALENDRIER!AF497:AF508)</f>
        <v>1</v>
      </c>
      <c r="G501" s="134"/>
      <c r="H501" s="137">
        <f>Tableau1[[#This Row],[Date début]]</f>
        <v>0</v>
      </c>
    </row>
    <row r="502" spans="1:8">
      <c r="A502" s="133" t="s">
        <v>181</v>
      </c>
      <c r="C502" s="134"/>
      <c r="D502" s="134">
        <f>Tableau1[[#This Row],[Date début]]</f>
        <v>0</v>
      </c>
      <c r="E502" s="136" t="e">
        <f>VLOOKUP(Tableau1[[#This Row],[Type]],LISTES!$A$2:$O$61,2,0)</f>
        <v>#N/A</v>
      </c>
      <c r="F502" s="136">
        <f>NETWORKDAYS.INTL(C502,D502,11,CALENDRIER!AF498:AF509)</f>
        <v>1</v>
      </c>
      <c r="G502" s="134"/>
      <c r="H502" s="137">
        <f>Tableau1[[#This Row],[Date début]]</f>
        <v>0</v>
      </c>
    </row>
    <row r="503" spans="1:8">
      <c r="A503" s="133" t="s">
        <v>181</v>
      </c>
      <c r="C503" s="134"/>
      <c r="D503" s="134">
        <f>Tableau1[[#This Row],[Date début]]</f>
        <v>0</v>
      </c>
      <c r="E503" s="136" t="e">
        <f>VLOOKUP(Tableau1[[#This Row],[Type]],LISTES!$A$2:$O$61,2,0)</f>
        <v>#N/A</v>
      </c>
      <c r="F503" s="136">
        <f>NETWORKDAYS.INTL(C503,D503,11,CALENDRIER!AF499:AF510)</f>
        <v>1</v>
      </c>
      <c r="G503" s="134"/>
      <c r="H503" s="137">
        <f>Tableau1[[#This Row],[Date début]]</f>
        <v>0</v>
      </c>
    </row>
    <row r="504" spans="1:8">
      <c r="A504" s="133" t="s">
        <v>181</v>
      </c>
      <c r="C504" s="134"/>
      <c r="D504" s="134">
        <f>Tableau1[[#This Row],[Date début]]</f>
        <v>0</v>
      </c>
      <c r="E504" s="136" t="e">
        <f>VLOOKUP(Tableau1[[#This Row],[Type]],LISTES!$A$2:$O$61,2,0)</f>
        <v>#N/A</v>
      </c>
      <c r="F504" s="136">
        <f>NETWORKDAYS.INTL(C504,D504,11,CALENDRIER!AF500:AF511)</f>
        <v>1</v>
      </c>
      <c r="G504" s="134"/>
      <c r="H504" s="137">
        <f>Tableau1[[#This Row],[Date début]]</f>
        <v>0</v>
      </c>
    </row>
    <row r="505" spans="1:8">
      <c r="A505" s="133" t="s">
        <v>181</v>
      </c>
      <c r="C505" s="134"/>
      <c r="D505" s="134">
        <f>Tableau1[[#This Row],[Date début]]</f>
        <v>0</v>
      </c>
      <c r="E505" s="136" t="e">
        <f>VLOOKUP(Tableau1[[#This Row],[Type]],LISTES!$A$2:$O$61,2,0)</f>
        <v>#N/A</v>
      </c>
      <c r="F505" s="136">
        <f>NETWORKDAYS.INTL(C505,D505,11,CALENDRIER!AF501:AF512)</f>
        <v>1</v>
      </c>
      <c r="G505" s="134"/>
      <c r="H505" s="137">
        <f>Tableau1[[#This Row],[Date début]]</f>
        <v>0</v>
      </c>
    </row>
    <row r="506" spans="1:8">
      <c r="A506" s="133" t="s">
        <v>181</v>
      </c>
      <c r="C506" s="134"/>
      <c r="D506" s="134">
        <f>Tableau1[[#This Row],[Date début]]</f>
        <v>0</v>
      </c>
      <c r="E506" s="136" t="e">
        <f>VLOOKUP(Tableau1[[#This Row],[Type]],LISTES!$A$2:$O$61,2,0)</f>
        <v>#N/A</v>
      </c>
      <c r="F506" s="136">
        <f>NETWORKDAYS.INTL(C506,D506,11,CALENDRIER!AF502:AF513)</f>
        <v>1</v>
      </c>
      <c r="G506" s="134"/>
      <c r="H506" s="137">
        <f>Tableau1[[#This Row],[Date début]]</f>
        <v>0</v>
      </c>
    </row>
    <row r="507" spans="1:8">
      <c r="A507" s="133" t="s">
        <v>181</v>
      </c>
      <c r="C507" s="134"/>
      <c r="D507" s="134">
        <f>Tableau1[[#This Row],[Date début]]</f>
        <v>0</v>
      </c>
      <c r="E507" s="136" t="e">
        <f>VLOOKUP(Tableau1[[#This Row],[Type]],LISTES!$A$2:$O$61,2,0)</f>
        <v>#N/A</v>
      </c>
      <c r="F507" s="136">
        <f>NETWORKDAYS.INTL(C507,D507,11,CALENDRIER!AF503:AF514)</f>
        <v>1</v>
      </c>
      <c r="G507" s="134"/>
      <c r="H507" s="137">
        <f>Tableau1[[#This Row],[Date début]]</f>
        <v>0</v>
      </c>
    </row>
    <row r="508" spans="1:8">
      <c r="A508" s="133" t="s">
        <v>181</v>
      </c>
      <c r="C508" s="134"/>
      <c r="D508" s="134">
        <f>Tableau1[[#This Row],[Date début]]</f>
        <v>0</v>
      </c>
      <c r="E508" s="136" t="e">
        <f>VLOOKUP(Tableau1[[#This Row],[Type]],LISTES!$A$2:$O$61,2,0)</f>
        <v>#N/A</v>
      </c>
      <c r="F508" s="136">
        <f>NETWORKDAYS.INTL(C508,D508,11,CALENDRIER!AF504:AF515)</f>
        <v>1</v>
      </c>
      <c r="G508" s="134"/>
      <c r="H508" s="137">
        <f>Tableau1[[#This Row],[Date début]]</f>
        <v>0</v>
      </c>
    </row>
    <row r="509" spans="1:8">
      <c r="A509" s="133" t="s">
        <v>181</v>
      </c>
      <c r="C509" s="134"/>
      <c r="D509" s="134">
        <f>Tableau1[[#This Row],[Date début]]</f>
        <v>0</v>
      </c>
      <c r="E509" s="136" t="e">
        <f>VLOOKUP(Tableau1[[#This Row],[Type]],LISTES!$A$2:$O$61,2,0)</f>
        <v>#N/A</v>
      </c>
      <c r="F509" s="136">
        <f>NETWORKDAYS.INTL(C509,D509,11,CALENDRIER!AF505:AF516)</f>
        <v>1</v>
      </c>
      <c r="G509" s="134"/>
      <c r="H509" s="137">
        <f>Tableau1[[#This Row],[Date début]]</f>
        <v>0</v>
      </c>
    </row>
    <row r="510" spans="1:8">
      <c r="A510" s="133" t="s">
        <v>181</v>
      </c>
      <c r="C510" s="134"/>
      <c r="D510" s="134">
        <f>Tableau1[[#This Row],[Date début]]</f>
        <v>0</v>
      </c>
      <c r="E510" s="136" t="e">
        <f>VLOOKUP(Tableau1[[#This Row],[Type]],LISTES!$A$2:$O$61,2,0)</f>
        <v>#N/A</v>
      </c>
      <c r="F510" s="136">
        <f>NETWORKDAYS.INTL(C510,D510,11,CALENDRIER!AF506:AF517)</f>
        <v>1</v>
      </c>
      <c r="G510" s="134"/>
      <c r="H510" s="137">
        <f>Tableau1[[#This Row],[Date début]]</f>
        <v>0</v>
      </c>
    </row>
    <row r="511" spans="1:8">
      <c r="A511" s="133" t="s">
        <v>181</v>
      </c>
      <c r="C511" s="134"/>
      <c r="D511" s="134">
        <f>Tableau1[[#This Row],[Date début]]</f>
        <v>0</v>
      </c>
      <c r="E511" s="136" t="e">
        <f>VLOOKUP(Tableau1[[#This Row],[Type]],LISTES!$A$2:$O$61,2,0)</f>
        <v>#N/A</v>
      </c>
      <c r="F511" s="136">
        <f>NETWORKDAYS.INTL(C511,D511,11,CALENDRIER!AF507:AF518)</f>
        <v>1</v>
      </c>
      <c r="G511" s="134"/>
      <c r="H511" s="137">
        <f>Tableau1[[#This Row],[Date début]]</f>
        <v>0</v>
      </c>
    </row>
    <row r="512" spans="1:8">
      <c r="A512" s="133" t="s">
        <v>181</v>
      </c>
      <c r="C512" s="134"/>
      <c r="D512" s="134">
        <f>Tableau1[[#This Row],[Date début]]</f>
        <v>0</v>
      </c>
      <c r="E512" s="136" t="e">
        <f>VLOOKUP(Tableau1[[#This Row],[Type]],LISTES!$A$2:$O$61,2,0)</f>
        <v>#N/A</v>
      </c>
      <c r="F512" s="136">
        <f>NETWORKDAYS.INTL(C512,D512,11,CALENDRIER!AF508:AF519)</f>
        <v>1</v>
      </c>
      <c r="G512" s="134"/>
      <c r="H512" s="137">
        <f>Tableau1[[#This Row],[Date début]]</f>
        <v>0</v>
      </c>
    </row>
    <row r="513" spans="1:8">
      <c r="A513" s="133" t="s">
        <v>181</v>
      </c>
      <c r="C513" s="134"/>
      <c r="D513" s="134">
        <f>Tableau1[[#This Row],[Date début]]</f>
        <v>0</v>
      </c>
      <c r="E513" s="136" t="e">
        <f>VLOOKUP(Tableau1[[#This Row],[Type]],LISTES!$A$2:$O$61,2,0)</f>
        <v>#N/A</v>
      </c>
      <c r="F513" s="136">
        <f>NETWORKDAYS.INTL(C513,D513,11,CALENDRIER!AF509:AF520)</f>
        <v>1</v>
      </c>
      <c r="G513" s="134"/>
      <c r="H513" s="137">
        <f>Tableau1[[#This Row],[Date début]]</f>
        <v>0</v>
      </c>
    </row>
    <row r="514" spans="1:8">
      <c r="A514" s="133" t="s">
        <v>181</v>
      </c>
      <c r="C514" s="134"/>
      <c r="D514" s="134">
        <f>Tableau1[[#This Row],[Date début]]</f>
        <v>0</v>
      </c>
      <c r="E514" s="136" t="e">
        <f>VLOOKUP(Tableau1[[#This Row],[Type]],LISTES!$A$2:$O$61,2,0)</f>
        <v>#N/A</v>
      </c>
      <c r="F514" s="136">
        <f>NETWORKDAYS.INTL(C514,D514,11,CALENDRIER!AF510:AF521)</f>
        <v>1</v>
      </c>
      <c r="G514" s="134"/>
      <c r="H514" s="137">
        <f>Tableau1[[#This Row],[Date début]]</f>
        <v>0</v>
      </c>
    </row>
    <row r="515" spans="1:8">
      <c r="A515" s="133" t="s">
        <v>181</v>
      </c>
      <c r="C515" s="134"/>
      <c r="D515" s="134">
        <f>Tableau1[[#This Row],[Date début]]</f>
        <v>0</v>
      </c>
      <c r="E515" s="136" t="e">
        <f>VLOOKUP(Tableau1[[#This Row],[Type]],LISTES!$A$2:$O$61,2,0)</f>
        <v>#N/A</v>
      </c>
      <c r="F515" s="136">
        <f>NETWORKDAYS.INTL(C515,D515,11,CALENDRIER!AF511:AF522)</f>
        <v>1</v>
      </c>
      <c r="G515" s="134"/>
      <c r="H515" s="137">
        <f>Tableau1[[#This Row],[Date début]]</f>
        <v>0</v>
      </c>
    </row>
    <row r="516" spans="1:8">
      <c r="A516" s="133" t="s">
        <v>181</v>
      </c>
      <c r="C516" s="134"/>
      <c r="D516" s="134">
        <f>Tableau1[[#This Row],[Date début]]</f>
        <v>0</v>
      </c>
      <c r="E516" s="136" t="e">
        <f>VLOOKUP(Tableau1[[#This Row],[Type]],LISTES!$A$2:$O$61,2,0)</f>
        <v>#N/A</v>
      </c>
      <c r="F516" s="136">
        <f>NETWORKDAYS.INTL(C516,D516,11,CALENDRIER!AF512:AF523)</f>
        <v>1</v>
      </c>
      <c r="G516" s="134"/>
      <c r="H516" s="137">
        <f>Tableau1[[#This Row],[Date début]]</f>
        <v>0</v>
      </c>
    </row>
    <row r="517" spans="1:8">
      <c r="A517" s="133" t="s">
        <v>181</v>
      </c>
      <c r="C517" s="134"/>
      <c r="D517" s="134">
        <f>Tableau1[[#This Row],[Date début]]</f>
        <v>0</v>
      </c>
      <c r="E517" s="136" t="e">
        <f>VLOOKUP(Tableau1[[#This Row],[Type]],LISTES!$A$2:$O$61,2,0)</f>
        <v>#N/A</v>
      </c>
      <c r="F517" s="136">
        <f>NETWORKDAYS.INTL(C517,D517,11,CALENDRIER!AF513:AF524)</f>
        <v>1</v>
      </c>
      <c r="G517" s="134"/>
      <c r="H517" s="137">
        <f>Tableau1[[#This Row],[Date début]]</f>
        <v>0</v>
      </c>
    </row>
    <row r="518" spans="1:8">
      <c r="A518" s="133" t="s">
        <v>181</v>
      </c>
      <c r="C518" s="134"/>
      <c r="D518" s="134">
        <f>Tableau1[[#This Row],[Date début]]</f>
        <v>0</v>
      </c>
      <c r="E518" s="136" t="e">
        <f>VLOOKUP(Tableau1[[#This Row],[Type]],LISTES!$A$2:$O$61,2,0)</f>
        <v>#N/A</v>
      </c>
      <c r="F518" s="136">
        <f>NETWORKDAYS.INTL(C518,D518,11,CALENDRIER!AF514:AF525)</f>
        <v>1</v>
      </c>
      <c r="G518" s="134"/>
      <c r="H518" s="137">
        <f>Tableau1[[#This Row],[Date début]]</f>
        <v>0</v>
      </c>
    </row>
    <row r="519" spans="1:8">
      <c r="A519" s="133" t="s">
        <v>181</v>
      </c>
      <c r="C519" s="134"/>
      <c r="D519" s="134">
        <f>Tableau1[[#This Row],[Date début]]</f>
        <v>0</v>
      </c>
      <c r="E519" s="136" t="e">
        <f>VLOOKUP(Tableau1[[#This Row],[Type]],LISTES!$A$2:$O$61,2,0)</f>
        <v>#N/A</v>
      </c>
      <c r="F519" s="136">
        <f>NETWORKDAYS.INTL(C519,D519,11,CALENDRIER!AF515:AF526)</f>
        <v>1</v>
      </c>
      <c r="G519" s="134"/>
      <c r="H519" s="137">
        <f>Tableau1[[#This Row],[Date début]]</f>
        <v>0</v>
      </c>
    </row>
    <row r="520" spans="1:8">
      <c r="A520" s="133" t="s">
        <v>181</v>
      </c>
      <c r="C520" s="134"/>
      <c r="D520" s="134">
        <f>Tableau1[[#This Row],[Date début]]</f>
        <v>0</v>
      </c>
      <c r="E520" s="136" t="e">
        <f>VLOOKUP(Tableau1[[#This Row],[Type]],LISTES!$A$2:$O$61,2,0)</f>
        <v>#N/A</v>
      </c>
      <c r="F520" s="136">
        <f>NETWORKDAYS.INTL(C520,D520,11,CALENDRIER!AF516:AF527)</f>
        <v>1</v>
      </c>
      <c r="G520" s="134"/>
      <c r="H520" s="137">
        <f>Tableau1[[#This Row],[Date début]]</f>
        <v>0</v>
      </c>
    </row>
    <row r="521" spans="1:8">
      <c r="A521" s="133" t="s">
        <v>181</v>
      </c>
      <c r="C521" s="134"/>
      <c r="D521" s="134">
        <f>Tableau1[[#This Row],[Date début]]</f>
        <v>0</v>
      </c>
      <c r="E521" s="136" t="e">
        <f>VLOOKUP(Tableau1[[#This Row],[Type]],LISTES!$A$2:$O$61,2,0)</f>
        <v>#N/A</v>
      </c>
      <c r="F521" s="136">
        <f>NETWORKDAYS.INTL(C521,D521,11,CALENDRIER!AF517:AF528)</f>
        <v>1</v>
      </c>
      <c r="G521" s="134"/>
      <c r="H521" s="137">
        <f>Tableau1[[#This Row],[Date début]]</f>
        <v>0</v>
      </c>
    </row>
    <row r="522" spans="1:8">
      <c r="A522" s="133" t="s">
        <v>181</v>
      </c>
      <c r="C522" s="134"/>
      <c r="D522" s="134">
        <f>Tableau1[[#This Row],[Date début]]</f>
        <v>0</v>
      </c>
      <c r="E522" s="136" t="e">
        <f>VLOOKUP(Tableau1[[#This Row],[Type]],LISTES!$A$2:$O$61,2,0)</f>
        <v>#N/A</v>
      </c>
      <c r="F522" s="136">
        <f>NETWORKDAYS.INTL(C522,D522,11,CALENDRIER!AF518:AF529)</f>
        <v>1</v>
      </c>
      <c r="G522" s="134"/>
      <c r="H522" s="137">
        <f>Tableau1[[#This Row],[Date début]]</f>
        <v>0</v>
      </c>
    </row>
    <row r="523" spans="1:8">
      <c r="A523" s="133" t="s">
        <v>181</v>
      </c>
      <c r="C523" s="134"/>
      <c r="D523" s="134">
        <f>Tableau1[[#This Row],[Date début]]</f>
        <v>0</v>
      </c>
      <c r="E523" s="136" t="e">
        <f>VLOOKUP(Tableau1[[#This Row],[Type]],LISTES!$A$2:$O$61,2,0)</f>
        <v>#N/A</v>
      </c>
      <c r="F523" s="136">
        <f>NETWORKDAYS.INTL(C523,D523,11,CALENDRIER!AF519:AF530)</f>
        <v>1</v>
      </c>
      <c r="G523" s="134"/>
      <c r="H523" s="137">
        <f>Tableau1[[#This Row],[Date début]]</f>
        <v>0</v>
      </c>
    </row>
    <row r="524" spans="1:8">
      <c r="A524" s="133" t="s">
        <v>181</v>
      </c>
      <c r="C524" s="134"/>
      <c r="D524" s="134">
        <f>Tableau1[[#This Row],[Date début]]</f>
        <v>0</v>
      </c>
      <c r="E524" s="136" t="e">
        <f>VLOOKUP(Tableau1[[#This Row],[Type]],LISTES!$A$2:$O$61,2,0)</f>
        <v>#N/A</v>
      </c>
      <c r="F524" s="136">
        <f>NETWORKDAYS.INTL(C524,D524,11,CALENDRIER!AF520:AF531)</f>
        <v>1</v>
      </c>
      <c r="G524" s="134"/>
      <c r="H524" s="137">
        <f>Tableau1[[#This Row],[Date début]]</f>
        <v>0</v>
      </c>
    </row>
    <row r="525" spans="1:8">
      <c r="A525" s="133" t="s">
        <v>181</v>
      </c>
      <c r="C525" s="134"/>
      <c r="D525" s="134">
        <f>Tableau1[[#This Row],[Date début]]</f>
        <v>0</v>
      </c>
      <c r="E525" s="136" t="e">
        <f>VLOOKUP(Tableau1[[#This Row],[Type]],LISTES!$A$2:$O$61,2,0)</f>
        <v>#N/A</v>
      </c>
      <c r="F525" s="136">
        <f>NETWORKDAYS.INTL(C525,D525,11,CALENDRIER!AF521:AF532)</f>
        <v>1</v>
      </c>
      <c r="G525" s="134"/>
      <c r="H525" s="137">
        <f>Tableau1[[#This Row],[Date début]]</f>
        <v>0</v>
      </c>
    </row>
    <row r="526" spans="1:8">
      <c r="A526" s="133" t="s">
        <v>181</v>
      </c>
      <c r="C526" s="134"/>
      <c r="D526" s="134">
        <f>Tableau1[[#This Row],[Date début]]</f>
        <v>0</v>
      </c>
      <c r="E526" s="136" t="e">
        <f>VLOOKUP(Tableau1[[#This Row],[Type]],LISTES!$A$2:$O$61,2,0)</f>
        <v>#N/A</v>
      </c>
      <c r="F526" s="136">
        <f>NETWORKDAYS.INTL(C526,D526,11,CALENDRIER!AF522:AF533)</f>
        <v>1</v>
      </c>
      <c r="G526" s="134"/>
      <c r="H526" s="137">
        <f>Tableau1[[#This Row],[Date début]]</f>
        <v>0</v>
      </c>
    </row>
    <row r="527" spans="1:8">
      <c r="A527" s="133" t="s">
        <v>181</v>
      </c>
      <c r="C527" s="134"/>
      <c r="D527" s="134">
        <f>Tableau1[[#This Row],[Date début]]</f>
        <v>0</v>
      </c>
      <c r="E527" s="136" t="e">
        <f>VLOOKUP(Tableau1[[#This Row],[Type]],LISTES!$A$2:$O$61,2,0)</f>
        <v>#N/A</v>
      </c>
      <c r="F527" s="136">
        <f>NETWORKDAYS.INTL(C527,D527,11,CALENDRIER!AF523:AF534)</f>
        <v>1</v>
      </c>
      <c r="G527" s="134"/>
      <c r="H527" s="137">
        <f>Tableau1[[#This Row],[Date début]]</f>
        <v>0</v>
      </c>
    </row>
    <row r="528" spans="1:8">
      <c r="A528" s="133" t="s">
        <v>181</v>
      </c>
      <c r="C528" s="134"/>
      <c r="D528" s="134">
        <f>Tableau1[[#This Row],[Date début]]</f>
        <v>0</v>
      </c>
      <c r="E528" s="136" t="e">
        <f>VLOOKUP(Tableau1[[#This Row],[Type]],LISTES!$A$2:$O$61,2,0)</f>
        <v>#N/A</v>
      </c>
      <c r="F528" s="136">
        <f>NETWORKDAYS.INTL(C528,D528,11,CALENDRIER!AF524:AF535)</f>
        <v>1</v>
      </c>
      <c r="G528" s="134"/>
      <c r="H528" s="137">
        <f>Tableau1[[#This Row],[Date début]]</f>
        <v>0</v>
      </c>
    </row>
    <row r="529" spans="1:8">
      <c r="A529" s="133" t="s">
        <v>181</v>
      </c>
      <c r="C529" s="134"/>
      <c r="D529" s="134">
        <f>Tableau1[[#This Row],[Date début]]</f>
        <v>0</v>
      </c>
      <c r="E529" s="136" t="e">
        <f>VLOOKUP(Tableau1[[#This Row],[Type]],LISTES!$A$2:$O$61,2,0)</f>
        <v>#N/A</v>
      </c>
      <c r="F529" s="136">
        <f>NETWORKDAYS.INTL(C529,D529,11,CALENDRIER!AF525:AF536)</f>
        <v>1</v>
      </c>
      <c r="G529" s="134"/>
      <c r="H529" s="137">
        <f>Tableau1[[#This Row],[Date début]]</f>
        <v>0</v>
      </c>
    </row>
    <row r="530" spans="1:8">
      <c r="A530" s="133" t="s">
        <v>181</v>
      </c>
      <c r="C530" s="134"/>
      <c r="D530" s="134">
        <f>Tableau1[[#This Row],[Date début]]</f>
        <v>0</v>
      </c>
      <c r="E530" s="136" t="e">
        <f>VLOOKUP(Tableau1[[#This Row],[Type]],LISTES!$A$2:$O$61,2,0)</f>
        <v>#N/A</v>
      </c>
      <c r="F530" s="136">
        <f>NETWORKDAYS.INTL(C530,D530,11,CALENDRIER!AF526:AF537)</f>
        <v>1</v>
      </c>
      <c r="G530" s="134"/>
      <c r="H530" s="137">
        <f>Tableau1[[#This Row],[Date début]]</f>
        <v>0</v>
      </c>
    </row>
    <row r="531" spans="1:8">
      <c r="A531" s="133" t="s">
        <v>181</v>
      </c>
      <c r="C531" s="134"/>
      <c r="D531" s="134">
        <f>Tableau1[[#This Row],[Date début]]</f>
        <v>0</v>
      </c>
      <c r="E531" s="136" t="e">
        <f>VLOOKUP(Tableau1[[#This Row],[Type]],LISTES!$A$2:$O$61,2,0)</f>
        <v>#N/A</v>
      </c>
      <c r="F531" s="136">
        <f>NETWORKDAYS.INTL(C531,D531,11,CALENDRIER!AF527:AF538)</f>
        <v>1</v>
      </c>
      <c r="G531" s="134"/>
      <c r="H531" s="137">
        <f>Tableau1[[#This Row],[Date début]]</f>
        <v>0</v>
      </c>
    </row>
    <row r="532" spans="1:8">
      <c r="A532" s="133" t="s">
        <v>181</v>
      </c>
      <c r="C532" s="134"/>
      <c r="D532" s="134">
        <f>Tableau1[[#This Row],[Date début]]</f>
        <v>0</v>
      </c>
      <c r="E532" s="136" t="e">
        <f>VLOOKUP(Tableau1[[#This Row],[Type]],LISTES!$A$2:$O$61,2,0)</f>
        <v>#N/A</v>
      </c>
      <c r="F532" s="136">
        <f>NETWORKDAYS.INTL(C532,D532,11,CALENDRIER!AF528:AF539)</f>
        <v>1</v>
      </c>
      <c r="G532" s="134"/>
      <c r="H532" s="137">
        <f>Tableau1[[#This Row],[Date début]]</f>
        <v>0</v>
      </c>
    </row>
    <row r="533" spans="1:8">
      <c r="A533" s="133" t="s">
        <v>181</v>
      </c>
      <c r="C533" s="134"/>
      <c r="D533" s="134">
        <f>Tableau1[[#This Row],[Date début]]</f>
        <v>0</v>
      </c>
      <c r="E533" s="136" t="e">
        <f>VLOOKUP(Tableau1[[#This Row],[Type]],LISTES!$A$2:$O$61,2,0)</f>
        <v>#N/A</v>
      </c>
      <c r="F533" s="136">
        <f>NETWORKDAYS.INTL(C533,D533,11,CALENDRIER!AF529:AF540)</f>
        <v>1</v>
      </c>
      <c r="G533" s="134"/>
      <c r="H533" s="137">
        <f>Tableau1[[#This Row],[Date début]]</f>
        <v>0</v>
      </c>
    </row>
    <row r="534" spans="1:8">
      <c r="A534" s="133" t="s">
        <v>181</v>
      </c>
      <c r="C534" s="134"/>
      <c r="D534" s="134">
        <f>Tableau1[[#This Row],[Date début]]</f>
        <v>0</v>
      </c>
      <c r="E534" s="136" t="e">
        <f>VLOOKUP(Tableau1[[#This Row],[Type]],LISTES!$A$2:$O$61,2,0)</f>
        <v>#N/A</v>
      </c>
      <c r="F534" s="136">
        <f>NETWORKDAYS.INTL(C534,D534,11,CALENDRIER!AF530:AF541)</f>
        <v>1</v>
      </c>
      <c r="G534" s="134"/>
      <c r="H534" s="137">
        <f>Tableau1[[#This Row],[Date début]]</f>
        <v>0</v>
      </c>
    </row>
    <row r="535" spans="1:8">
      <c r="A535" s="133" t="s">
        <v>181</v>
      </c>
      <c r="C535" s="134"/>
      <c r="D535" s="134">
        <f>Tableau1[[#This Row],[Date début]]</f>
        <v>0</v>
      </c>
      <c r="E535" s="136" t="e">
        <f>VLOOKUP(Tableau1[[#This Row],[Type]],LISTES!$A$2:$O$61,2,0)</f>
        <v>#N/A</v>
      </c>
      <c r="F535" s="136">
        <f>NETWORKDAYS.INTL(C535,D535,11,CALENDRIER!AF531:AF542)</f>
        <v>1</v>
      </c>
      <c r="G535" s="134"/>
      <c r="H535" s="137">
        <f>Tableau1[[#This Row],[Date début]]</f>
        <v>0</v>
      </c>
    </row>
    <row r="536" spans="1:8">
      <c r="A536" s="133" t="s">
        <v>181</v>
      </c>
      <c r="C536" s="134"/>
      <c r="D536" s="134">
        <f>Tableau1[[#This Row],[Date début]]</f>
        <v>0</v>
      </c>
      <c r="E536" s="136" t="e">
        <f>VLOOKUP(Tableau1[[#This Row],[Type]],LISTES!$A$2:$O$61,2,0)</f>
        <v>#N/A</v>
      </c>
      <c r="F536" s="136">
        <f>NETWORKDAYS.INTL(C536,D536,11,CALENDRIER!AF532:AF543)</f>
        <v>1</v>
      </c>
      <c r="G536" s="134"/>
      <c r="H536" s="137">
        <f>Tableau1[[#This Row],[Date début]]</f>
        <v>0</v>
      </c>
    </row>
    <row r="537" spans="1:8">
      <c r="A537" s="133" t="s">
        <v>181</v>
      </c>
      <c r="C537" s="134"/>
      <c r="D537" s="134">
        <f>Tableau1[[#This Row],[Date début]]</f>
        <v>0</v>
      </c>
      <c r="E537" s="136" t="e">
        <f>VLOOKUP(Tableau1[[#This Row],[Type]],LISTES!$A$2:$O$61,2,0)</f>
        <v>#N/A</v>
      </c>
      <c r="F537" s="136">
        <f>NETWORKDAYS.INTL(C537,D537,11,CALENDRIER!AF533:AF544)</f>
        <v>1</v>
      </c>
      <c r="G537" s="134"/>
      <c r="H537" s="137">
        <f>Tableau1[[#This Row],[Date début]]</f>
        <v>0</v>
      </c>
    </row>
    <row r="538" spans="1:8">
      <c r="A538" s="133" t="s">
        <v>181</v>
      </c>
      <c r="C538" s="134"/>
      <c r="D538" s="134">
        <f>Tableau1[[#This Row],[Date début]]</f>
        <v>0</v>
      </c>
      <c r="E538" s="136" t="e">
        <f>VLOOKUP(Tableau1[[#This Row],[Type]],LISTES!$A$2:$O$61,2,0)</f>
        <v>#N/A</v>
      </c>
      <c r="F538" s="136">
        <f>NETWORKDAYS.INTL(C538,D538,11,CALENDRIER!AF534:AF545)</f>
        <v>1</v>
      </c>
      <c r="G538" s="134"/>
      <c r="H538" s="137">
        <f>Tableau1[[#This Row],[Date début]]</f>
        <v>0</v>
      </c>
    </row>
    <row r="539" spans="1:8">
      <c r="A539" s="133" t="s">
        <v>181</v>
      </c>
      <c r="C539" s="134"/>
      <c r="D539" s="134">
        <f>Tableau1[[#This Row],[Date début]]</f>
        <v>0</v>
      </c>
      <c r="E539" s="136" t="e">
        <f>VLOOKUP(Tableau1[[#This Row],[Type]],LISTES!$A$2:$O$61,2,0)</f>
        <v>#N/A</v>
      </c>
      <c r="F539" s="136">
        <f>NETWORKDAYS.INTL(C539,D539,11,CALENDRIER!AF535:AF546)</f>
        <v>1</v>
      </c>
      <c r="G539" s="134"/>
      <c r="H539" s="137">
        <f>Tableau1[[#This Row],[Date début]]</f>
        <v>0</v>
      </c>
    </row>
    <row r="540" spans="1:8">
      <c r="A540" s="133" t="s">
        <v>181</v>
      </c>
      <c r="C540" s="134"/>
      <c r="D540" s="134">
        <f>Tableau1[[#This Row],[Date début]]</f>
        <v>0</v>
      </c>
      <c r="E540" s="136" t="e">
        <f>VLOOKUP(Tableau1[[#This Row],[Type]],LISTES!$A$2:$O$61,2,0)</f>
        <v>#N/A</v>
      </c>
      <c r="F540" s="136">
        <f>NETWORKDAYS.INTL(C540,D540,11,CALENDRIER!AF536:AF547)</f>
        <v>1</v>
      </c>
      <c r="G540" s="134"/>
      <c r="H540" s="137">
        <f>Tableau1[[#This Row],[Date début]]</f>
        <v>0</v>
      </c>
    </row>
    <row r="541" spans="1:8">
      <c r="A541" s="133" t="s">
        <v>181</v>
      </c>
      <c r="C541" s="134"/>
      <c r="D541" s="134">
        <f>Tableau1[[#This Row],[Date début]]</f>
        <v>0</v>
      </c>
      <c r="E541" s="136" t="e">
        <f>VLOOKUP(Tableau1[[#This Row],[Type]],LISTES!$A$2:$O$61,2,0)</f>
        <v>#N/A</v>
      </c>
      <c r="F541" s="136">
        <f>NETWORKDAYS.INTL(C541,D541,11,CALENDRIER!AF537:AF548)</f>
        <v>1</v>
      </c>
      <c r="G541" s="134"/>
      <c r="H541" s="137">
        <f>Tableau1[[#This Row],[Date début]]</f>
        <v>0</v>
      </c>
    </row>
    <row r="542" spans="1:8">
      <c r="A542" s="133" t="s">
        <v>181</v>
      </c>
      <c r="C542" s="134"/>
      <c r="D542" s="134">
        <f>Tableau1[[#This Row],[Date début]]</f>
        <v>0</v>
      </c>
      <c r="E542" s="136" t="e">
        <f>VLOOKUP(Tableau1[[#This Row],[Type]],LISTES!$A$2:$O$61,2,0)</f>
        <v>#N/A</v>
      </c>
      <c r="F542" s="136">
        <f>NETWORKDAYS.INTL(C542,D542,11,CALENDRIER!AF538:AF549)</f>
        <v>1</v>
      </c>
      <c r="G542" s="134"/>
      <c r="H542" s="137">
        <f>Tableau1[[#This Row],[Date début]]</f>
        <v>0</v>
      </c>
    </row>
    <row r="543" spans="1:8">
      <c r="A543" s="133" t="s">
        <v>181</v>
      </c>
      <c r="C543" s="134"/>
      <c r="D543" s="134">
        <f>Tableau1[[#This Row],[Date début]]</f>
        <v>0</v>
      </c>
      <c r="E543" s="136" t="e">
        <f>VLOOKUP(Tableau1[[#This Row],[Type]],LISTES!$A$2:$O$61,2,0)</f>
        <v>#N/A</v>
      </c>
      <c r="F543" s="136">
        <f>NETWORKDAYS.INTL(C543,D543,11,CALENDRIER!AF539:AF550)</f>
        <v>1</v>
      </c>
      <c r="G543" s="134"/>
      <c r="H543" s="137">
        <f>Tableau1[[#This Row],[Date début]]</f>
        <v>0</v>
      </c>
    </row>
    <row r="544" spans="1:8">
      <c r="A544" s="133" t="s">
        <v>181</v>
      </c>
      <c r="C544" s="134"/>
      <c r="D544" s="134">
        <f>Tableau1[[#This Row],[Date début]]</f>
        <v>0</v>
      </c>
      <c r="E544" s="136" t="e">
        <f>VLOOKUP(Tableau1[[#This Row],[Type]],LISTES!$A$2:$O$61,2,0)</f>
        <v>#N/A</v>
      </c>
      <c r="F544" s="136">
        <f>NETWORKDAYS.INTL(C544,D544,11,CALENDRIER!AF540:AF551)</f>
        <v>1</v>
      </c>
      <c r="G544" s="134"/>
      <c r="H544" s="137">
        <f>Tableau1[[#This Row],[Date début]]</f>
        <v>0</v>
      </c>
    </row>
    <row r="545" spans="1:8">
      <c r="A545" s="133" t="s">
        <v>181</v>
      </c>
      <c r="C545" s="134"/>
      <c r="D545" s="134">
        <f>Tableau1[[#This Row],[Date début]]</f>
        <v>0</v>
      </c>
      <c r="E545" s="136" t="e">
        <f>VLOOKUP(Tableau1[[#This Row],[Type]],LISTES!$A$2:$O$61,2,0)</f>
        <v>#N/A</v>
      </c>
      <c r="F545" s="136">
        <f>NETWORKDAYS.INTL(C545,D545,11,CALENDRIER!AF541:AF552)</f>
        <v>1</v>
      </c>
      <c r="G545" s="134"/>
      <c r="H545" s="137">
        <f>Tableau1[[#This Row],[Date début]]</f>
        <v>0</v>
      </c>
    </row>
    <row r="546" spans="1:8">
      <c r="A546" s="133" t="s">
        <v>181</v>
      </c>
      <c r="C546" s="134"/>
      <c r="D546" s="134">
        <f>Tableau1[[#This Row],[Date début]]</f>
        <v>0</v>
      </c>
      <c r="E546" s="136" t="e">
        <f>VLOOKUP(Tableau1[[#This Row],[Type]],LISTES!$A$2:$O$61,2,0)</f>
        <v>#N/A</v>
      </c>
      <c r="F546" s="136">
        <f>NETWORKDAYS.INTL(C546,D546,11,CALENDRIER!AF542:AF553)</f>
        <v>1</v>
      </c>
      <c r="G546" s="134"/>
      <c r="H546" s="137">
        <f>Tableau1[[#This Row],[Date début]]</f>
        <v>0</v>
      </c>
    </row>
    <row r="547" spans="1:8">
      <c r="A547" s="133" t="s">
        <v>181</v>
      </c>
      <c r="C547" s="134"/>
      <c r="D547" s="134">
        <f>Tableau1[[#This Row],[Date début]]</f>
        <v>0</v>
      </c>
      <c r="E547" s="136" t="e">
        <f>VLOOKUP(Tableau1[[#This Row],[Type]],LISTES!$A$2:$O$61,2,0)</f>
        <v>#N/A</v>
      </c>
      <c r="F547" s="136">
        <f>NETWORKDAYS.INTL(C547,D547,11,CALENDRIER!AF543:AF554)</f>
        <v>1</v>
      </c>
      <c r="G547" s="134"/>
      <c r="H547" s="137">
        <f>Tableau1[[#This Row],[Date début]]</f>
        <v>0</v>
      </c>
    </row>
    <row r="548" spans="1:8">
      <c r="A548" s="133" t="s">
        <v>181</v>
      </c>
      <c r="C548" s="134"/>
      <c r="D548" s="134">
        <f>Tableau1[[#This Row],[Date début]]</f>
        <v>0</v>
      </c>
      <c r="E548" s="136" t="e">
        <f>VLOOKUP(Tableau1[[#This Row],[Type]],LISTES!$A$2:$O$61,2,0)</f>
        <v>#N/A</v>
      </c>
      <c r="F548" s="136">
        <f>NETWORKDAYS.INTL(C548,D548,11,CALENDRIER!AF544:AF555)</f>
        <v>1</v>
      </c>
      <c r="G548" s="134"/>
      <c r="H548" s="137">
        <f>Tableau1[[#This Row],[Date début]]</f>
        <v>0</v>
      </c>
    </row>
    <row r="549" spans="1:8">
      <c r="A549" s="133" t="s">
        <v>181</v>
      </c>
      <c r="C549" s="134"/>
      <c r="D549" s="134">
        <f>Tableau1[[#This Row],[Date début]]</f>
        <v>0</v>
      </c>
      <c r="E549" s="136" t="e">
        <f>VLOOKUP(Tableau1[[#This Row],[Type]],LISTES!$A$2:$O$61,2,0)</f>
        <v>#N/A</v>
      </c>
      <c r="F549" s="136">
        <f>NETWORKDAYS.INTL(C549,D549,11,CALENDRIER!AF545:AF556)</f>
        <v>1</v>
      </c>
      <c r="G549" s="134"/>
      <c r="H549" s="137">
        <f>Tableau1[[#This Row],[Date début]]</f>
        <v>0</v>
      </c>
    </row>
    <row r="550" spans="1:8">
      <c r="A550" s="133" t="s">
        <v>181</v>
      </c>
      <c r="C550" s="134"/>
      <c r="D550" s="134">
        <f>Tableau1[[#This Row],[Date début]]</f>
        <v>0</v>
      </c>
      <c r="E550" s="136" t="e">
        <f>VLOOKUP(Tableau1[[#This Row],[Type]],LISTES!$A$2:$O$61,2,0)</f>
        <v>#N/A</v>
      </c>
      <c r="F550" s="136">
        <f>NETWORKDAYS.INTL(C550,D550,11,CALENDRIER!AF546:AF557)</f>
        <v>1</v>
      </c>
      <c r="G550" s="134"/>
      <c r="H550" s="137">
        <f>Tableau1[[#This Row],[Date début]]</f>
        <v>0</v>
      </c>
    </row>
    <row r="551" spans="1:8">
      <c r="A551" s="133" t="s">
        <v>181</v>
      </c>
      <c r="C551" s="134"/>
      <c r="D551" s="134">
        <f>Tableau1[[#This Row],[Date début]]</f>
        <v>0</v>
      </c>
      <c r="E551" s="136" t="e">
        <f>VLOOKUP(Tableau1[[#This Row],[Type]],LISTES!$A$2:$O$61,2,0)</f>
        <v>#N/A</v>
      </c>
      <c r="F551" s="136">
        <f>NETWORKDAYS.INTL(C551,D551,11,CALENDRIER!AF547:AF558)</f>
        <v>1</v>
      </c>
      <c r="G551" s="134"/>
      <c r="H551" s="137">
        <f>Tableau1[[#This Row],[Date début]]</f>
        <v>0</v>
      </c>
    </row>
    <row r="552" spans="1:8">
      <c r="A552" s="133" t="s">
        <v>181</v>
      </c>
      <c r="C552" s="134"/>
      <c r="D552" s="134">
        <f>Tableau1[[#This Row],[Date début]]</f>
        <v>0</v>
      </c>
      <c r="E552" s="136" t="e">
        <f>VLOOKUP(Tableau1[[#This Row],[Type]],LISTES!$A$2:$O$61,2,0)</f>
        <v>#N/A</v>
      </c>
      <c r="F552" s="136">
        <f>NETWORKDAYS.INTL(C552,D552,11,CALENDRIER!AF548:AF559)</f>
        <v>1</v>
      </c>
      <c r="G552" s="134"/>
      <c r="H552" s="137">
        <f>Tableau1[[#This Row],[Date début]]</f>
        <v>0</v>
      </c>
    </row>
    <row r="553" spans="1:8">
      <c r="A553" s="133" t="s">
        <v>181</v>
      </c>
      <c r="C553" s="134"/>
      <c r="D553" s="134">
        <f>Tableau1[[#This Row],[Date début]]</f>
        <v>0</v>
      </c>
      <c r="E553" s="136" t="e">
        <f>VLOOKUP(Tableau1[[#This Row],[Type]],LISTES!$A$2:$O$61,2,0)</f>
        <v>#N/A</v>
      </c>
      <c r="F553" s="136">
        <f>NETWORKDAYS.INTL(C553,D553,11,CALENDRIER!AF549:AF560)</f>
        <v>1</v>
      </c>
      <c r="G553" s="134"/>
      <c r="H553" s="137">
        <f>Tableau1[[#This Row],[Date début]]</f>
        <v>0</v>
      </c>
    </row>
    <row r="554" spans="1:8">
      <c r="A554" s="133" t="s">
        <v>181</v>
      </c>
      <c r="C554" s="134"/>
      <c r="D554" s="134">
        <f>Tableau1[[#This Row],[Date début]]</f>
        <v>0</v>
      </c>
      <c r="E554" s="136" t="e">
        <f>VLOOKUP(Tableau1[[#This Row],[Type]],LISTES!$A$2:$O$61,2,0)</f>
        <v>#N/A</v>
      </c>
      <c r="F554" s="136">
        <f>NETWORKDAYS.INTL(C554,D554,11,CALENDRIER!AF550:AF561)</f>
        <v>1</v>
      </c>
      <c r="G554" s="134"/>
      <c r="H554" s="137">
        <f>Tableau1[[#This Row],[Date début]]</f>
        <v>0</v>
      </c>
    </row>
    <row r="555" spans="1:8">
      <c r="A555" s="133" t="s">
        <v>181</v>
      </c>
      <c r="C555" s="134"/>
      <c r="D555" s="134">
        <f>Tableau1[[#This Row],[Date début]]</f>
        <v>0</v>
      </c>
      <c r="E555" s="136" t="e">
        <f>VLOOKUP(Tableau1[[#This Row],[Type]],LISTES!$A$2:$O$61,2,0)</f>
        <v>#N/A</v>
      </c>
      <c r="F555" s="136">
        <f>NETWORKDAYS.INTL(C555,D555,11,CALENDRIER!AF551:AF562)</f>
        <v>1</v>
      </c>
      <c r="G555" s="134"/>
      <c r="H555" s="137">
        <f>Tableau1[[#This Row],[Date début]]</f>
        <v>0</v>
      </c>
    </row>
    <row r="556" spans="1:8">
      <c r="A556" s="133" t="s">
        <v>181</v>
      </c>
      <c r="C556" s="134"/>
      <c r="D556" s="134">
        <f>Tableau1[[#This Row],[Date début]]</f>
        <v>0</v>
      </c>
      <c r="E556" s="136" t="e">
        <f>VLOOKUP(Tableau1[[#This Row],[Type]],LISTES!$A$2:$O$61,2,0)</f>
        <v>#N/A</v>
      </c>
      <c r="F556" s="136">
        <f>NETWORKDAYS.INTL(C556,D556,11,CALENDRIER!AF552:AF563)</f>
        <v>1</v>
      </c>
      <c r="G556" s="134"/>
      <c r="H556" s="137">
        <f>Tableau1[[#This Row],[Date début]]</f>
        <v>0</v>
      </c>
    </row>
    <row r="557" spans="1:8">
      <c r="A557" s="133" t="s">
        <v>181</v>
      </c>
      <c r="C557" s="134"/>
      <c r="D557" s="134">
        <f>Tableau1[[#This Row],[Date début]]</f>
        <v>0</v>
      </c>
      <c r="E557" s="136" t="e">
        <f>VLOOKUP(Tableau1[[#This Row],[Type]],LISTES!$A$2:$O$61,2,0)</f>
        <v>#N/A</v>
      </c>
      <c r="F557" s="136">
        <f>NETWORKDAYS.INTL(C557,D557,11,CALENDRIER!AF553:AF564)</f>
        <v>1</v>
      </c>
      <c r="G557" s="134"/>
      <c r="H557" s="137">
        <f>Tableau1[[#This Row],[Date début]]</f>
        <v>0</v>
      </c>
    </row>
    <row r="558" spans="1:8">
      <c r="A558" s="133" t="s">
        <v>181</v>
      </c>
      <c r="C558" s="134"/>
      <c r="D558" s="134">
        <f>Tableau1[[#This Row],[Date début]]</f>
        <v>0</v>
      </c>
      <c r="E558" s="136" t="e">
        <f>VLOOKUP(Tableau1[[#This Row],[Type]],LISTES!$A$2:$O$61,2,0)</f>
        <v>#N/A</v>
      </c>
      <c r="F558" s="136">
        <f>NETWORKDAYS.INTL(C558,D558,11,CALENDRIER!AF554:AF565)</f>
        <v>1</v>
      </c>
      <c r="G558" s="134"/>
      <c r="H558" s="137">
        <f>Tableau1[[#This Row],[Date début]]</f>
        <v>0</v>
      </c>
    </row>
    <row r="559" spans="1:8">
      <c r="A559" s="133" t="s">
        <v>181</v>
      </c>
      <c r="C559" s="134"/>
      <c r="D559" s="134">
        <f>Tableau1[[#This Row],[Date début]]</f>
        <v>0</v>
      </c>
      <c r="E559" s="136" t="e">
        <f>VLOOKUP(Tableau1[[#This Row],[Type]],LISTES!$A$2:$O$61,2,0)</f>
        <v>#N/A</v>
      </c>
      <c r="F559" s="136">
        <f>NETWORKDAYS.INTL(C559,D559,11,CALENDRIER!AF555:AF566)</f>
        <v>1</v>
      </c>
      <c r="G559" s="134"/>
      <c r="H559" s="137">
        <f>Tableau1[[#This Row],[Date début]]</f>
        <v>0</v>
      </c>
    </row>
    <row r="560" spans="1:8">
      <c r="A560" s="133" t="s">
        <v>181</v>
      </c>
      <c r="C560" s="134"/>
      <c r="D560" s="134">
        <f>Tableau1[[#This Row],[Date début]]</f>
        <v>0</v>
      </c>
      <c r="E560" s="136" t="e">
        <f>VLOOKUP(Tableau1[[#This Row],[Type]],LISTES!$A$2:$O$61,2,0)</f>
        <v>#N/A</v>
      </c>
      <c r="F560" s="136">
        <f>NETWORKDAYS.INTL(C560,D560,11,CALENDRIER!AF556:AF567)</f>
        <v>1</v>
      </c>
      <c r="G560" s="134"/>
      <c r="H560" s="137">
        <f>Tableau1[[#This Row],[Date début]]</f>
        <v>0</v>
      </c>
    </row>
    <row r="561" spans="1:8">
      <c r="A561" s="133" t="s">
        <v>181</v>
      </c>
      <c r="C561" s="134"/>
      <c r="D561" s="134">
        <f>Tableau1[[#This Row],[Date début]]</f>
        <v>0</v>
      </c>
      <c r="E561" s="136" t="e">
        <f>VLOOKUP(Tableau1[[#This Row],[Type]],LISTES!$A$2:$O$61,2,0)</f>
        <v>#N/A</v>
      </c>
      <c r="F561" s="136">
        <f>NETWORKDAYS.INTL(C561,D561,11,CALENDRIER!AF557:AF568)</f>
        <v>1</v>
      </c>
      <c r="G561" s="134"/>
      <c r="H561" s="137">
        <f>Tableau1[[#This Row],[Date début]]</f>
        <v>0</v>
      </c>
    </row>
    <row r="562" spans="1:8">
      <c r="A562" s="133" t="s">
        <v>181</v>
      </c>
      <c r="C562" s="134"/>
      <c r="D562" s="134">
        <f>Tableau1[[#This Row],[Date début]]</f>
        <v>0</v>
      </c>
      <c r="E562" s="136" t="e">
        <f>VLOOKUP(Tableau1[[#This Row],[Type]],LISTES!$A$2:$O$61,2,0)</f>
        <v>#N/A</v>
      </c>
      <c r="F562" s="136">
        <f>NETWORKDAYS.INTL(C562,D562,11,CALENDRIER!AF558:AF569)</f>
        <v>1</v>
      </c>
      <c r="G562" s="134"/>
      <c r="H562" s="137">
        <f>Tableau1[[#This Row],[Date début]]</f>
        <v>0</v>
      </c>
    </row>
    <row r="563" spans="1:8">
      <c r="A563" s="133" t="s">
        <v>181</v>
      </c>
      <c r="C563" s="134"/>
      <c r="D563" s="134">
        <f>Tableau1[[#This Row],[Date début]]</f>
        <v>0</v>
      </c>
      <c r="E563" s="136" t="e">
        <f>VLOOKUP(Tableau1[[#This Row],[Type]],LISTES!$A$2:$O$61,2,0)</f>
        <v>#N/A</v>
      </c>
      <c r="F563" s="136">
        <f>NETWORKDAYS.INTL(C563,D563,11,CALENDRIER!AF559:AF570)</f>
        <v>1</v>
      </c>
      <c r="G563" s="134"/>
      <c r="H563" s="137">
        <f>Tableau1[[#This Row],[Date début]]</f>
        <v>0</v>
      </c>
    </row>
    <row r="564" spans="1:8">
      <c r="A564" s="133" t="s">
        <v>181</v>
      </c>
      <c r="C564" s="134"/>
      <c r="D564" s="134">
        <f>Tableau1[[#This Row],[Date début]]</f>
        <v>0</v>
      </c>
      <c r="E564" s="136" t="e">
        <f>VLOOKUP(Tableau1[[#This Row],[Type]],LISTES!$A$2:$O$61,2,0)</f>
        <v>#N/A</v>
      </c>
      <c r="F564" s="136">
        <f>NETWORKDAYS.INTL(C564,D564,11,CALENDRIER!AF560:AF571)</f>
        <v>1</v>
      </c>
      <c r="G564" s="134"/>
      <c r="H564" s="137">
        <f>Tableau1[[#This Row],[Date début]]</f>
        <v>0</v>
      </c>
    </row>
    <row r="565" spans="1:8">
      <c r="A565" s="133" t="s">
        <v>181</v>
      </c>
      <c r="C565" s="134"/>
      <c r="D565" s="134">
        <f>Tableau1[[#This Row],[Date début]]</f>
        <v>0</v>
      </c>
      <c r="E565" s="136" t="e">
        <f>VLOOKUP(Tableau1[[#This Row],[Type]],LISTES!$A$2:$O$61,2,0)</f>
        <v>#N/A</v>
      </c>
      <c r="F565" s="136">
        <f>NETWORKDAYS.INTL(C565,D565,11,CALENDRIER!AF561:AF572)</f>
        <v>1</v>
      </c>
      <c r="G565" s="134"/>
      <c r="H565" s="137">
        <f>Tableau1[[#This Row],[Date début]]</f>
        <v>0</v>
      </c>
    </row>
    <row r="566" spans="1:8">
      <c r="A566" s="133" t="s">
        <v>181</v>
      </c>
      <c r="C566" s="134"/>
      <c r="D566" s="134">
        <f>Tableau1[[#This Row],[Date début]]</f>
        <v>0</v>
      </c>
      <c r="E566" s="136" t="e">
        <f>VLOOKUP(Tableau1[[#This Row],[Type]],LISTES!$A$2:$O$61,2,0)</f>
        <v>#N/A</v>
      </c>
      <c r="F566" s="136">
        <f>NETWORKDAYS.INTL(C566,D566,11,CALENDRIER!AF562:AF573)</f>
        <v>1</v>
      </c>
      <c r="G566" s="134"/>
      <c r="H566" s="137">
        <f>Tableau1[[#This Row],[Date début]]</f>
        <v>0</v>
      </c>
    </row>
    <row r="567" spans="1:8">
      <c r="A567" s="133" t="s">
        <v>181</v>
      </c>
      <c r="C567" s="134"/>
      <c r="D567" s="134">
        <f>Tableau1[[#This Row],[Date début]]</f>
        <v>0</v>
      </c>
      <c r="E567" s="136" t="e">
        <f>VLOOKUP(Tableau1[[#This Row],[Type]],LISTES!$A$2:$O$61,2,0)</f>
        <v>#N/A</v>
      </c>
      <c r="F567" s="136">
        <f>NETWORKDAYS.INTL(C567,D567,11,CALENDRIER!AF563:AF574)</f>
        <v>1</v>
      </c>
      <c r="G567" s="134"/>
      <c r="H567" s="137">
        <f>Tableau1[[#This Row],[Date début]]</f>
        <v>0</v>
      </c>
    </row>
    <row r="568" spans="1:8">
      <c r="A568" s="133" t="s">
        <v>181</v>
      </c>
      <c r="C568" s="134"/>
      <c r="D568" s="134">
        <f>Tableau1[[#This Row],[Date début]]</f>
        <v>0</v>
      </c>
      <c r="E568" s="136" t="e">
        <f>VLOOKUP(Tableau1[[#This Row],[Type]],LISTES!$A$2:$O$61,2,0)</f>
        <v>#N/A</v>
      </c>
      <c r="F568" s="136">
        <f>NETWORKDAYS.INTL(C568,D568,11,CALENDRIER!AF564:AF575)</f>
        <v>1</v>
      </c>
      <c r="G568" s="134"/>
      <c r="H568" s="137">
        <f>Tableau1[[#This Row],[Date début]]</f>
        <v>0</v>
      </c>
    </row>
    <row r="569" spans="1:8">
      <c r="A569" s="133" t="s">
        <v>181</v>
      </c>
      <c r="C569" s="134"/>
      <c r="D569" s="134">
        <f>Tableau1[[#This Row],[Date début]]</f>
        <v>0</v>
      </c>
      <c r="E569" s="136" t="e">
        <f>VLOOKUP(Tableau1[[#This Row],[Type]],LISTES!$A$2:$O$61,2,0)</f>
        <v>#N/A</v>
      </c>
      <c r="F569" s="136">
        <f>NETWORKDAYS.INTL(C569,D569,11,CALENDRIER!AF565:AF576)</f>
        <v>1</v>
      </c>
      <c r="G569" s="134"/>
      <c r="H569" s="137">
        <f>Tableau1[[#This Row],[Date début]]</f>
        <v>0</v>
      </c>
    </row>
    <row r="570" spans="1:8">
      <c r="A570" s="133" t="s">
        <v>181</v>
      </c>
      <c r="C570" s="134"/>
      <c r="D570" s="134">
        <f>Tableau1[[#This Row],[Date début]]</f>
        <v>0</v>
      </c>
      <c r="E570" s="136" t="e">
        <f>VLOOKUP(Tableau1[[#This Row],[Type]],LISTES!$A$2:$O$61,2,0)</f>
        <v>#N/A</v>
      </c>
      <c r="F570" s="136">
        <f>NETWORKDAYS.INTL(C570,D570,11,CALENDRIER!AF566:AF577)</f>
        <v>1</v>
      </c>
      <c r="G570" s="134"/>
      <c r="H570" s="137">
        <f>Tableau1[[#This Row],[Date début]]</f>
        <v>0</v>
      </c>
    </row>
    <row r="571" spans="1:8">
      <c r="A571" s="133" t="s">
        <v>181</v>
      </c>
      <c r="C571" s="134"/>
      <c r="D571" s="134">
        <f>Tableau1[[#This Row],[Date début]]</f>
        <v>0</v>
      </c>
      <c r="E571" s="136" t="e">
        <f>VLOOKUP(Tableau1[[#This Row],[Type]],LISTES!$A$2:$O$61,2,0)</f>
        <v>#N/A</v>
      </c>
      <c r="F571" s="136">
        <f>NETWORKDAYS.INTL(C571,D571,11,CALENDRIER!AF567:AF578)</f>
        <v>1</v>
      </c>
      <c r="G571" s="134"/>
      <c r="H571" s="137">
        <f>Tableau1[[#This Row],[Date début]]</f>
        <v>0</v>
      </c>
    </row>
    <row r="572" spans="1:8">
      <c r="A572" s="133" t="s">
        <v>181</v>
      </c>
      <c r="C572" s="134"/>
      <c r="D572" s="134">
        <f>Tableau1[[#This Row],[Date début]]</f>
        <v>0</v>
      </c>
      <c r="E572" s="136" t="e">
        <f>VLOOKUP(Tableau1[[#This Row],[Type]],LISTES!$A$2:$O$61,2,0)</f>
        <v>#N/A</v>
      </c>
      <c r="F572" s="136">
        <f>NETWORKDAYS.INTL(C572,D572,11,CALENDRIER!AF568:AF579)</f>
        <v>1</v>
      </c>
      <c r="G572" s="134"/>
      <c r="H572" s="137">
        <f>Tableau1[[#This Row],[Date début]]</f>
        <v>0</v>
      </c>
    </row>
    <row r="573" spans="1:8">
      <c r="A573" s="133" t="s">
        <v>181</v>
      </c>
      <c r="C573" s="134"/>
      <c r="D573" s="134">
        <f>Tableau1[[#This Row],[Date début]]</f>
        <v>0</v>
      </c>
      <c r="E573" s="136" t="e">
        <f>VLOOKUP(Tableau1[[#This Row],[Type]],LISTES!$A$2:$O$61,2,0)</f>
        <v>#N/A</v>
      </c>
      <c r="F573" s="136">
        <f>NETWORKDAYS.INTL(C573,D573,11,CALENDRIER!AF569:AF580)</f>
        <v>1</v>
      </c>
      <c r="G573" s="134"/>
      <c r="H573" s="137">
        <f>Tableau1[[#This Row],[Date début]]</f>
        <v>0</v>
      </c>
    </row>
    <row r="574" spans="1:8">
      <c r="A574" s="133" t="s">
        <v>181</v>
      </c>
      <c r="C574" s="134"/>
      <c r="D574" s="134">
        <f>Tableau1[[#This Row],[Date début]]</f>
        <v>0</v>
      </c>
      <c r="E574" s="136" t="e">
        <f>VLOOKUP(Tableau1[[#This Row],[Type]],LISTES!$A$2:$O$61,2,0)</f>
        <v>#N/A</v>
      </c>
      <c r="F574" s="136">
        <f>NETWORKDAYS.INTL(C574,D574,11,CALENDRIER!AF570:AF581)</f>
        <v>1</v>
      </c>
      <c r="G574" s="134"/>
      <c r="H574" s="137">
        <f>Tableau1[[#This Row],[Date début]]</f>
        <v>0</v>
      </c>
    </row>
    <row r="575" spans="1:8">
      <c r="A575" s="133" t="s">
        <v>181</v>
      </c>
      <c r="C575" s="134"/>
      <c r="D575" s="134">
        <f>Tableau1[[#This Row],[Date début]]</f>
        <v>0</v>
      </c>
      <c r="E575" s="136" t="e">
        <f>VLOOKUP(Tableau1[[#This Row],[Type]],LISTES!$A$2:$O$61,2,0)</f>
        <v>#N/A</v>
      </c>
      <c r="F575" s="136">
        <f>NETWORKDAYS.INTL(C575,D575,11,CALENDRIER!AF571:AF582)</f>
        <v>1</v>
      </c>
      <c r="G575" s="134"/>
      <c r="H575" s="137">
        <f>Tableau1[[#This Row],[Date début]]</f>
        <v>0</v>
      </c>
    </row>
    <row r="576" spans="1:8">
      <c r="A576" s="133" t="s">
        <v>181</v>
      </c>
      <c r="C576" s="134"/>
      <c r="D576" s="134">
        <f>Tableau1[[#This Row],[Date début]]</f>
        <v>0</v>
      </c>
      <c r="E576" s="136" t="e">
        <f>VLOOKUP(Tableau1[[#This Row],[Type]],LISTES!$A$2:$O$61,2,0)</f>
        <v>#N/A</v>
      </c>
      <c r="F576" s="136">
        <f>NETWORKDAYS.INTL(C576,D576,11,CALENDRIER!AF572:AF583)</f>
        <v>1</v>
      </c>
      <c r="G576" s="134"/>
      <c r="H576" s="137">
        <f>Tableau1[[#This Row],[Date début]]</f>
        <v>0</v>
      </c>
    </row>
    <row r="577" spans="1:8">
      <c r="A577" s="133" t="s">
        <v>181</v>
      </c>
      <c r="C577" s="134"/>
      <c r="D577" s="134">
        <f>Tableau1[[#This Row],[Date début]]</f>
        <v>0</v>
      </c>
      <c r="E577" s="136" t="e">
        <f>VLOOKUP(Tableau1[[#This Row],[Type]],LISTES!$A$2:$O$61,2,0)</f>
        <v>#N/A</v>
      </c>
      <c r="F577" s="136">
        <f>NETWORKDAYS.INTL(C577,D577,11,CALENDRIER!AF573:AF584)</f>
        <v>1</v>
      </c>
      <c r="G577" s="134"/>
      <c r="H577" s="137">
        <f>Tableau1[[#This Row],[Date début]]</f>
        <v>0</v>
      </c>
    </row>
    <row r="578" spans="1:8">
      <c r="A578" s="133" t="s">
        <v>181</v>
      </c>
      <c r="C578" s="134"/>
      <c r="D578" s="134">
        <f>Tableau1[[#This Row],[Date début]]</f>
        <v>0</v>
      </c>
      <c r="E578" s="136" t="e">
        <f>VLOOKUP(Tableau1[[#This Row],[Type]],LISTES!$A$2:$O$61,2,0)</f>
        <v>#N/A</v>
      </c>
      <c r="F578" s="136">
        <f>NETWORKDAYS.INTL(C578,D578,11,CALENDRIER!AF574:AF585)</f>
        <v>1</v>
      </c>
      <c r="G578" s="134"/>
      <c r="H578" s="137">
        <f>Tableau1[[#This Row],[Date début]]</f>
        <v>0</v>
      </c>
    </row>
    <row r="579" spans="1:8">
      <c r="A579" s="133" t="s">
        <v>181</v>
      </c>
      <c r="C579" s="134"/>
      <c r="D579" s="134">
        <f>Tableau1[[#This Row],[Date début]]</f>
        <v>0</v>
      </c>
      <c r="E579" s="136" t="e">
        <f>VLOOKUP(Tableau1[[#This Row],[Type]],LISTES!$A$2:$O$61,2,0)</f>
        <v>#N/A</v>
      </c>
      <c r="F579" s="136">
        <f>NETWORKDAYS.INTL(C579,D579,11,CALENDRIER!AF575:AF586)</f>
        <v>1</v>
      </c>
      <c r="G579" s="134"/>
      <c r="H579" s="137">
        <f>Tableau1[[#This Row],[Date début]]</f>
        <v>0</v>
      </c>
    </row>
    <row r="580" spans="1:8">
      <c r="A580" s="133" t="s">
        <v>181</v>
      </c>
      <c r="C580" s="134"/>
      <c r="D580" s="134">
        <f>Tableau1[[#This Row],[Date début]]</f>
        <v>0</v>
      </c>
      <c r="E580" s="136" t="e">
        <f>VLOOKUP(Tableau1[[#This Row],[Type]],LISTES!$A$2:$O$61,2,0)</f>
        <v>#N/A</v>
      </c>
      <c r="F580" s="136">
        <f>NETWORKDAYS.INTL(C580,D580,11,CALENDRIER!AF576:AF587)</f>
        <v>1</v>
      </c>
      <c r="G580" s="134"/>
      <c r="H580" s="137">
        <f>Tableau1[[#This Row],[Date début]]</f>
        <v>0</v>
      </c>
    </row>
    <row r="581" spans="1:8">
      <c r="A581" s="133" t="s">
        <v>181</v>
      </c>
      <c r="C581" s="134"/>
      <c r="D581" s="134">
        <f>Tableau1[[#This Row],[Date début]]</f>
        <v>0</v>
      </c>
      <c r="E581" s="136" t="e">
        <f>VLOOKUP(Tableau1[[#This Row],[Type]],LISTES!$A$2:$O$61,2,0)</f>
        <v>#N/A</v>
      </c>
      <c r="F581" s="136">
        <f>NETWORKDAYS.INTL(C581,D581,11,CALENDRIER!AF577:AF588)</f>
        <v>1</v>
      </c>
      <c r="G581" s="134"/>
      <c r="H581" s="137">
        <f>Tableau1[[#This Row],[Date début]]</f>
        <v>0</v>
      </c>
    </row>
    <row r="582" spans="1:8">
      <c r="A582" s="133" t="s">
        <v>181</v>
      </c>
      <c r="C582" s="134"/>
      <c r="D582" s="134">
        <f>Tableau1[[#This Row],[Date début]]</f>
        <v>0</v>
      </c>
      <c r="E582" s="136" t="e">
        <f>VLOOKUP(Tableau1[[#This Row],[Type]],LISTES!$A$2:$O$61,2,0)</f>
        <v>#N/A</v>
      </c>
      <c r="F582" s="136">
        <f>NETWORKDAYS.INTL(C582,D582,11,CALENDRIER!AF578:AF589)</f>
        <v>1</v>
      </c>
      <c r="G582" s="134"/>
      <c r="H582" s="137">
        <f>Tableau1[[#This Row],[Date début]]</f>
        <v>0</v>
      </c>
    </row>
    <row r="583" spans="1:8">
      <c r="A583" s="133" t="s">
        <v>181</v>
      </c>
      <c r="C583" s="134"/>
      <c r="D583" s="134">
        <f>Tableau1[[#This Row],[Date début]]</f>
        <v>0</v>
      </c>
      <c r="E583" s="136" t="e">
        <f>VLOOKUP(Tableau1[[#This Row],[Type]],LISTES!$A$2:$O$61,2,0)</f>
        <v>#N/A</v>
      </c>
      <c r="F583" s="136">
        <f>NETWORKDAYS.INTL(C583,D583,11,CALENDRIER!AF579:AF590)</f>
        <v>1</v>
      </c>
      <c r="G583" s="134"/>
      <c r="H583" s="137">
        <f>Tableau1[[#This Row],[Date début]]</f>
        <v>0</v>
      </c>
    </row>
    <row r="584" spans="1:8">
      <c r="A584" s="133" t="s">
        <v>181</v>
      </c>
      <c r="C584" s="134"/>
      <c r="D584" s="134">
        <f>Tableau1[[#This Row],[Date début]]</f>
        <v>0</v>
      </c>
      <c r="E584" s="136" t="e">
        <f>VLOOKUP(Tableau1[[#This Row],[Type]],LISTES!$A$2:$O$61,2,0)</f>
        <v>#N/A</v>
      </c>
      <c r="F584" s="136">
        <f>NETWORKDAYS.INTL(C584,D584,11,CALENDRIER!AF580:AF591)</f>
        <v>1</v>
      </c>
      <c r="G584" s="134"/>
      <c r="H584" s="137">
        <f>Tableau1[[#This Row],[Date début]]</f>
        <v>0</v>
      </c>
    </row>
    <row r="585" spans="1:8">
      <c r="A585" s="133" t="s">
        <v>181</v>
      </c>
      <c r="C585" s="134"/>
      <c r="D585" s="134">
        <f>Tableau1[[#This Row],[Date début]]</f>
        <v>0</v>
      </c>
      <c r="E585" s="136" t="e">
        <f>VLOOKUP(Tableau1[[#This Row],[Type]],LISTES!$A$2:$O$61,2,0)</f>
        <v>#N/A</v>
      </c>
      <c r="F585" s="136">
        <f>NETWORKDAYS.INTL(C585,D585,11,CALENDRIER!AF581:AF592)</f>
        <v>1</v>
      </c>
      <c r="G585" s="134"/>
      <c r="H585" s="137">
        <f>Tableau1[[#This Row],[Date début]]</f>
        <v>0</v>
      </c>
    </row>
    <row r="586" spans="1:8">
      <c r="A586" s="133" t="s">
        <v>181</v>
      </c>
      <c r="C586" s="134"/>
      <c r="D586" s="134">
        <f>Tableau1[[#This Row],[Date début]]</f>
        <v>0</v>
      </c>
      <c r="E586" s="136" t="e">
        <f>VLOOKUP(Tableau1[[#This Row],[Type]],LISTES!$A$2:$O$61,2,0)</f>
        <v>#N/A</v>
      </c>
      <c r="F586" s="136">
        <f>NETWORKDAYS.INTL(C586,D586,11,CALENDRIER!AF582:AF593)</f>
        <v>1</v>
      </c>
      <c r="G586" s="134"/>
      <c r="H586" s="137">
        <f>Tableau1[[#This Row],[Date début]]</f>
        <v>0</v>
      </c>
    </row>
    <row r="587" spans="1:8">
      <c r="A587" s="133" t="s">
        <v>181</v>
      </c>
      <c r="C587" s="134"/>
      <c r="D587" s="134">
        <f>Tableau1[[#This Row],[Date début]]</f>
        <v>0</v>
      </c>
      <c r="E587" s="136" t="e">
        <f>VLOOKUP(Tableau1[[#This Row],[Type]],LISTES!$A$2:$O$61,2,0)</f>
        <v>#N/A</v>
      </c>
      <c r="F587" s="136">
        <f>NETWORKDAYS.INTL(C587,D587,11,CALENDRIER!AF583:AF594)</f>
        <v>1</v>
      </c>
      <c r="G587" s="134"/>
      <c r="H587" s="137">
        <f>Tableau1[[#This Row],[Date début]]</f>
        <v>0</v>
      </c>
    </row>
    <row r="588" spans="1:8">
      <c r="A588" s="133" t="s">
        <v>181</v>
      </c>
      <c r="C588" s="134"/>
      <c r="D588" s="134">
        <f>Tableau1[[#This Row],[Date début]]</f>
        <v>0</v>
      </c>
      <c r="E588" s="136" t="e">
        <f>VLOOKUP(Tableau1[[#This Row],[Type]],LISTES!$A$2:$O$61,2,0)</f>
        <v>#N/A</v>
      </c>
      <c r="F588" s="136">
        <f>NETWORKDAYS.INTL(C588,D588,11,CALENDRIER!AF584:AF595)</f>
        <v>1</v>
      </c>
      <c r="G588" s="134"/>
      <c r="H588" s="137">
        <f>Tableau1[[#This Row],[Date début]]</f>
        <v>0</v>
      </c>
    </row>
    <row r="589" spans="1:8">
      <c r="A589" s="133" t="s">
        <v>181</v>
      </c>
      <c r="C589" s="134"/>
      <c r="D589" s="134">
        <f>Tableau1[[#This Row],[Date début]]</f>
        <v>0</v>
      </c>
      <c r="E589" s="136" t="e">
        <f>VLOOKUP(Tableau1[[#This Row],[Type]],LISTES!$A$2:$O$61,2,0)</f>
        <v>#N/A</v>
      </c>
      <c r="F589" s="136">
        <f>NETWORKDAYS.INTL(C589,D589,11,CALENDRIER!AF585:AF596)</f>
        <v>1</v>
      </c>
      <c r="G589" s="134"/>
      <c r="H589" s="137">
        <f>Tableau1[[#This Row],[Date début]]</f>
        <v>0</v>
      </c>
    </row>
    <row r="590" spans="1:8">
      <c r="A590" s="133" t="s">
        <v>181</v>
      </c>
      <c r="C590" s="134"/>
      <c r="D590" s="134">
        <f>Tableau1[[#This Row],[Date début]]</f>
        <v>0</v>
      </c>
      <c r="E590" s="136" t="e">
        <f>VLOOKUP(Tableau1[[#This Row],[Type]],LISTES!$A$2:$O$61,2,0)</f>
        <v>#N/A</v>
      </c>
      <c r="F590" s="136">
        <f>NETWORKDAYS.INTL(C590,D590,11,CALENDRIER!AF586:AF597)</f>
        <v>1</v>
      </c>
      <c r="G590" s="134"/>
      <c r="H590" s="137">
        <f>Tableau1[[#This Row],[Date début]]</f>
        <v>0</v>
      </c>
    </row>
    <row r="591" spans="1:8">
      <c r="A591" s="133" t="s">
        <v>181</v>
      </c>
      <c r="C591" s="134"/>
      <c r="D591" s="134">
        <f>Tableau1[[#This Row],[Date début]]</f>
        <v>0</v>
      </c>
      <c r="E591" s="136" t="e">
        <f>VLOOKUP(Tableau1[[#This Row],[Type]],LISTES!$A$2:$O$61,2,0)</f>
        <v>#N/A</v>
      </c>
      <c r="F591" s="136">
        <f>NETWORKDAYS.INTL(C591,D591,11,CALENDRIER!AF587:AF598)</f>
        <v>1</v>
      </c>
      <c r="G591" s="134"/>
      <c r="H591" s="137">
        <f>Tableau1[[#This Row],[Date début]]</f>
        <v>0</v>
      </c>
    </row>
    <row r="592" spans="1:8">
      <c r="A592" s="133" t="s">
        <v>181</v>
      </c>
      <c r="C592" s="134"/>
      <c r="D592" s="134">
        <f>Tableau1[[#This Row],[Date début]]</f>
        <v>0</v>
      </c>
      <c r="E592" s="136" t="e">
        <f>VLOOKUP(Tableau1[[#This Row],[Type]],LISTES!$A$2:$O$61,2,0)</f>
        <v>#N/A</v>
      </c>
      <c r="F592" s="136">
        <f>NETWORKDAYS.INTL(C592,D592,11,CALENDRIER!AF588:AF599)</f>
        <v>1</v>
      </c>
      <c r="G592" s="134"/>
      <c r="H592" s="137">
        <f>Tableau1[[#This Row],[Date début]]</f>
        <v>0</v>
      </c>
    </row>
    <row r="593" spans="1:8">
      <c r="A593" s="133" t="s">
        <v>181</v>
      </c>
      <c r="C593" s="134"/>
      <c r="D593" s="134">
        <f>Tableau1[[#This Row],[Date début]]</f>
        <v>0</v>
      </c>
      <c r="E593" s="136" t="e">
        <f>VLOOKUP(Tableau1[[#This Row],[Type]],LISTES!$A$2:$O$61,2,0)</f>
        <v>#N/A</v>
      </c>
      <c r="F593" s="136">
        <f>NETWORKDAYS.INTL(C593,D593,11,CALENDRIER!AF589:AF600)</f>
        <v>1</v>
      </c>
      <c r="G593" s="134"/>
      <c r="H593" s="137">
        <f>Tableau1[[#This Row],[Date début]]</f>
        <v>0</v>
      </c>
    </row>
    <row r="594" spans="1:8">
      <c r="A594" s="133" t="s">
        <v>181</v>
      </c>
      <c r="C594" s="134"/>
      <c r="D594" s="134">
        <f>Tableau1[[#This Row],[Date début]]</f>
        <v>0</v>
      </c>
      <c r="E594" s="136" t="e">
        <f>VLOOKUP(Tableau1[[#This Row],[Type]],LISTES!$A$2:$O$61,2,0)</f>
        <v>#N/A</v>
      </c>
      <c r="F594" s="136">
        <f>NETWORKDAYS.INTL(C594,D594,11,CALENDRIER!AF590:AF601)</f>
        <v>1</v>
      </c>
      <c r="G594" s="134"/>
      <c r="H594" s="137">
        <f>Tableau1[[#This Row],[Date début]]</f>
        <v>0</v>
      </c>
    </row>
    <row r="595" spans="1:8">
      <c r="A595" s="133" t="s">
        <v>181</v>
      </c>
      <c r="C595" s="134"/>
      <c r="D595" s="134">
        <f>Tableau1[[#This Row],[Date début]]</f>
        <v>0</v>
      </c>
      <c r="E595" s="136" t="e">
        <f>VLOOKUP(Tableau1[[#This Row],[Type]],LISTES!$A$2:$O$61,2,0)</f>
        <v>#N/A</v>
      </c>
      <c r="F595" s="136">
        <f>NETWORKDAYS.INTL(C595,D595,11,CALENDRIER!AF591:AF602)</f>
        <v>1</v>
      </c>
      <c r="G595" s="134"/>
      <c r="H595" s="137">
        <f>Tableau1[[#This Row],[Date début]]</f>
        <v>0</v>
      </c>
    </row>
    <row r="596" spans="1:8">
      <c r="A596" s="133" t="s">
        <v>181</v>
      </c>
      <c r="C596" s="134"/>
      <c r="D596" s="134">
        <f>Tableau1[[#This Row],[Date début]]</f>
        <v>0</v>
      </c>
      <c r="E596" s="136" t="e">
        <f>VLOOKUP(Tableau1[[#This Row],[Type]],LISTES!$A$2:$O$61,2,0)</f>
        <v>#N/A</v>
      </c>
      <c r="F596" s="136">
        <f>NETWORKDAYS.INTL(C596,D596,11,CALENDRIER!AF592:AF603)</f>
        <v>1</v>
      </c>
      <c r="G596" s="134"/>
      <c r="H596" s="137">
        <f>Tableau1[[#This Row],[Date début]]</f>
        <v>0</v>
      </c>
    </row>
    <row r="597" spans="1:8">
      <c r="A597" s="133" t="s">
        <v>181</v>
      </c>
      <c r="C597" s="134"/>
      <c r="D597" s="134">
        <f>Tableau1[[#This Row],[Date début]]</f>
        <v>0</v>
      </c>
      <c r="E597" s="136" t="e">
        <f>VLOOKUP(Tableau1[[#This Row],[Type]],LISTES!$A$2:$O$61,2,0)</f>
        <v>#N/A</v>
      </c>
      <c r="F597" s="136">
        <f>NETWORKDAYS.INTL(C597,D597,11,CALENDRIER!AF593:AF604)</f>
        <v>1</v>
      </c>
      <c r="G597" s="134"/>
      <c r="H597" s="137">
        <f>Tableau1[[#This Row],[Date début]]</f>
        <v>0</v>
      </c>
    </row>
    <row r="598" spans="1:8">
      <c r="A598" s="133" t="s">
        <v>181</v>
      </c>
      <c r="C598" s="134"/>
      <c r="D598" s="134">
        <f>Tableau1[[#This Row],[Date début]]</f>
        <v>0</v>
      </c>
      <c r="E598" s="136" t="e">
        <f>VLOOKUP(Tableau1[[#This Row],[Type]],LISTES!$A$2:$O$61,2,0)</f>
        <v>#N/A</v>
      </c>
      <c r="F598" s="136">
        <f>NETWORKDAYS.INTL(C598,D598,11,CALENDRIER!AF594:AF605)</f>
        <v>1</v>
      </c>
      <c r="G598" s="134"/>
      <c r="H598" s="137">
        <f>Tableau1[[#This Row],[Date début]]</f>
        <v>0</v>
      </c>
    </row>
    <row r="599" spans="1:8">
      <c r="A599" s="133" t="s">
        <v>181</v>
      </c>
      <c r="C599" s="134"/>
      <c r="D599" s="134">
        <f>Tableau1[[#This Row],[Date début]]</f>
        <v>0</v>
      </c>
      <c r="E599" s="136" t="e">
        <f>VLOOKUP(Tableau1[[#This Row],[Type]],LISTES!$A$2:$O$61,2,0)</f>
        <v>#N/A</v>
      </c>
      <c r="F599" s="136">
        <f>NETWORKDAYS.INTL(C599,D599,11,CALENDRIER!AF595:AF606)</f>
        <v>1</v>
      </c>
      <c r="G599" s="134"/>
      <c r="H599" s="137">
        <f>Tableau1[[#This Row],[Date début]]</f>
        <v>0</v>
      </c>
    </row>
    <row r="600" spans="1:8">
      <c r="A600" s="133" t="s">
        <v>181</v>
      </c>
      <c r="C600" s="134"/>
      <c r="D600" s="134">
        <f>Tableau1[[#This Row],[Date début]]</f>
        <v>0</v>
      </c>
      <c r="E600" s="136" t="e">
        <f>VLOOKUP(Tableau1[[#This Row],[Type]],LISTES!$A$2:$O$61,2,0)</f>
        <v>#N/A</v>
      </c>
      <c r="F600" s="136">
        <f>NETWORKDAYS.INTL(C600,D600,11,CALENDRIER!AF596:AF607)</f>
        <v>1</v>
      </c>
      <c r="G600" s="134"/>
      <c r="H600" s="137">
        <f>Tableau1[[#This Row],[Date début]]</f>
        <v>0</v>
      </c>
    </row>
    <row r="601" spans="1:8">
      <c r="A601" s="133" t="s">
        <v>181</v>
      </c>
      <c r="C601" s="134"/>
      <c r="D601" s="134">
        <f>Tableau1[[#This Row],[Date début]]</f>
        <v>0</v>
      </c>
      <c r="E601" s="136" t="e">
        <f>VLOOKUP(Tableau1[[#This Row],[Type]],LISTES!$A$2:$O$61,2,0)</f>
        <v>#N/A</v>
      </c>
      <c r="F601" s="136">
        <f>NETWORKDAYS.INTL(C601,D601,11,CALENDRIER!AF597:AF608)</f>
        <v>1</v>
      </c>
      <c r="G601" s="134"/>
      <c r="H601" s="137">
        <f>Tableau1[[#This Row],[Date début]]</f>
        <v>0</v>
      </c>
    </row>
    <row r="602" spans="1:8">
      <c r="A602" s="133" t="s">
        <v>181</v>
      </c>
      <c r="C602" s="134"/>
      <c r="D602" s="134">
        <f>Tableau1[[#This Row],[Date début]]</f>
        <v>0</v>
      </c>
      <c r="E602" s="136" t="e">
        <f>VLOOKUP(Tableau1[[#This Row],[Type]],LISTES!$A$2:$O$61,2,0)</f>
        <v>#N/A</v>
      </c>
      <c r="F602" s="136">
        <f>NETWORKDAYS.INTL(C602,D602,11,CALENDRIER!AF598:AF609)</f>
        <v>1</v>
      </c>
      <c r="G602" s="134"/>
      <c r="H602" s="137">
        <f>Tableau1[[#This Row],[Date début]]</f>
        <v>0</v>
      </c>
    </row>
    <row r="603" spans="1:8">
      <c r="A603" s="133" t="s">
        <v>181</v>
      </c>
      <c r="C603" s="134"/>
      <c r="D603" s="134">
        <f>Tableau1[[#This Row],[Date début]]</f>
        <v>0</v>
      </c>
      <c r="E603" s="136" t="e">
        <f>VLOOKUP(Tableau1[[#This Row],[Type]],LISTES!$A$2:$O$61,2,0)</f>
        <v>#N/A</v>
      </c>
      <c r="F603" s="136">
        <f>NETWORKDAYS.INTL(C603,D603,11,CALENDRIER!AF599:AF610)</f>
        <v>1</v>
      </c>
      <c r="G603" s="134"/>
      <c r="H603" s="137">
        <f>Tableau1[[#This Row],[Date début]]</f>
        <v>0</v>
      </c>
    </row>
    <row r="604" spans="1:8">
      <c r="A604" s="133" t="s">
        <v>181</v>
      </c>
      <c r="C604" s="134"/>
      <c r="D604" s="134">
        <f>Tableau1[[#This Row],[Date début]]</f>
        <v>0</v>
      </c>
      <c r="E604" s="136" t="e">
        <f>VLOOKUP(Tableau1[[#This Row],[Type]],LISTES!$A$2:$O$61,2,0)</f>
        <v>#N/A</v>
      </c>
      <c r="F604" s="136">
        <f>NETWORKDAYS.INTL(C604,D604,11,CALENDRIER!AF600:AF611)</f>
        <v>1</v>
      </c>
      <c r="G604" s="134"/>
      <c r="H604" s="137">
        <f>Tableau1[[#This Row],[Date début]]</f>
        <v>0</v>
      </c>
    </row>
    <row r="605" spans="1:8">
      <c r="A605" s="133" t="s">
        <v>181</v>
      </c>
      <c r="C605" s="134"/>
      <c r="D605" s="134">
        <f>Tableau1[[#This Row],[Date début]]</f>
        <v>0</v>
      </c>
      <c r="E605" s="136" t="e">
        <f>VLOOKUP(Tableau1[[#This Row],[Type]],LISTES!$A$2:$O$61,2,0)</f>
        <v>#N/A</v>
      </c>
      <c r="F605" s="136">
        <f>NETWORKDAYS.INTL(C605,D605,11,CALENDRIER!AF601:AF612)</f>
        <v>1</v>
      </c>
      <c r="G605" s="134"/>
      <c r="H605" s="137">
        <f>Tableau1[[#This Row],[Date début]]</f>
        <v>0</v>
      </c>
    </row>
    <row r="606" spans="1:8">
      <c r="A606" s="133" t="s">
        <v>181</v>
      </c>
      <c r="C606" s="134"/>
      <c r="D606" s="134">
        <f>Tableau1[[#This Row],[Date début]]</f>
        <v>0</v>
      </c>
      <c r="E606" s="136" t="e">
        <f>VLOOKUP(Tableau1[[#This Row],[Type]],LISTES!$A$2:$O$61,2,0)</f>
        <v>#N/A</v>
      </c>
      <c r="F606" s="136">
        <f>NETWORKDAYS.INTL(C606,D606,11,CALENDRIER!AF602:AF613)</f>
        <v>1</v>
      </c>
      <c r="G606" s="134"/>
      <c r="H606" s="137">
        <f>Tableau1[[#This Row],[Date début]]</f>
        <v>0</v>
      </c>
    </row>
    <row r="607" spans="1:8">
      <c r="A607" s="133" t="s">
        <v>181</v>
      </c>
      <c r="C607" s="134"/>
      <c r="D607" s="134">
        <f>Tableau1[[#This Row],[Date début]]</f>
        <v>0</v>
      </c>
      <c r="E607" s="136" t="e">
        <f>VLOOKUP(Tableau1[[#This Row],[Type]],LISTES!$A$2:$O$61,2,0)</f>
        <v>#N/A</v>
      </c>
      <c r="F607" s="136">
        <f>NETWORKDAYS.INTL(C607,D607,11,CALENDRIER!AF603:AF614)</f>
        <v>1</v>
      </c>
      <c r="G607" s="134"/>
      <c r="H607" s="137">
        <f>Tableau1[[#This Row],[Date début]]</f>
        <v>0</v>
      </c>
    </row>
    <row r="608" spans="1:8">
      <c r="A608" s="133" t="s">
        <v>181</v>
      </c>
      <c r="C608" s="134"/>
      <c r="D608" s="134">
        <f>Tableau1[[#This Row],[Date début]]</f>
        <v>0</v>
      </c>
      <c r="E608" s="136" t="e">
        <f>VLOOKUP(Tableau1[[#This Row],[Type]],LISTES!$A$2:$O$61,2,0)</f>
        <v>#N/A</v>
      </c>
      <c r="F608" s="136">
        <f>NETWORKDAYS.INTL(C608,D608,11,CALENDRIER!AF604:AF615)</f>
        <v>1</v>
      </c>
      <c r="G608" s="134"/>
      <c r="H608" s="137">
        <f>Tableau1[[#This Row],[Date début]]</f>
        <v>0</v>
      </c>
    </row>
    <row r="609" spans="1:8">
      <c r="A609" s="133" t="s">
        <v>181</v>
      </c>
      <c r="C609" s="134"/>
      <c r="D609" s="134">
        <f>Tableau1[[#This Row],[Date début]]</f>
        <v>0</v>
      </c>
      <c r="E609" s="136" t="e">
        <f>VLOOKUP(Tableau1[[#This Row],[Type]],LISTES!$A$2:$O$61,2,0)</f>
        <v>#N/A</v>
      </c>
      <c r="F609" s="136">
        <f>NETWORKDAYS.INTL(C609,D609,11,CALENDRIER!AF605:AF616)</f>
        <v>1</v>
      </c>
      <c r="G609" s="134"/>
      <c r="H609" s="137">
        <f>Tableau1[[#This Row],[Date début]]</f>
        <v>0</v>
      </c>
    </row>
    <row r="610" spans="1:8">
      <c r="A610" s="133" t="s">
        <v>181</v>
      </c>
      <c r="C610" s="134"/>
      <c r="D610" s="134">
        <f>Tableau1[[#This Row],[Date début]]</f>
        <v>0</v>
      </c>
      <c r="E610" s="136" t="e">
        <f>VLOOKUP(Tableau1[[#This Row],[Type]],LISTES!$A$2:$O$61,2,0)</f>
        <v>#N/A</v>
      </c>
      <c r="F610" s="136">
        <f>NETWORKDAYS.INTL(C610,D610,11,CALENDRIER!AF606:AF617)</f>
        <v>1</v>
      </c>
      <c r="G610" s="134"/>
      <c r="H610" s="137">
        <f>Tableau1[[#This Row],[Date début]]</f>
        <v>0</v>
      </c>
    </row>
    <row r="611" spans="1:8">
      <c r="A611" s="133" t="s">
        <v>181</v>
      </c>
      <c r="C611" s="134"/>
      <c r="D611" s="134">
        <f>Tableau1[[#This Row],[Date début]]</f>
        <v>0</v>
      </c>
      <c r="E611" s="136" t="e">
        <f>VLOOKUP(Tableau1[[#This Row],[Type]],LISTES!$A$2:$O$61,2,0)</f>
        <v>#N/A</v>
      </c>
      <c r="F611" s="136">
        <f>NETWORKDAYS.INTL(C611,D611,11,CALENDRIER!AF607:AF618)</f>
        <v>1</v>
      </c>
      <c r="G611" s="134"/>
      <c r="H611" s="137">
        <f>Tableau1[[#This Row],[Date début]]</f>
        <v>0</v>
      </c>
    </row>
    <row r="616" spans="1:8">
      <c r="H616" s="135" t="s">
        <v>136</v>
      </c>
    </row>
  </sheetData>
  <dataValidations count="2">
    <dataValidation type="list" allowBlank="1" showInputMessage="1" showErrorMessage="1" sqref="G2:G611">
      <formula1>"OUI,NON"</formula1>
    </dataValidation>
    <dataValidation type="list" allowBlank="1" showInputMessage="1" showErrorMessage="1" sqref="A2:A611">
      <formula1>NomPrenom</formula1>
    </dataValidation>
  </dataValidations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LISTES!$A$2:$A$17</xm:f>
          </x14:formula1>
          <xm:sqref>B2:B611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8" tint="0.39997558519241921"/>
  </sheetPr>
  <dimension ref="A1:O35"/>
  <sheetViews>
    <sheetView showGridLines="0" tabSelected="1" workbookViewId="0">
      <selection activeCell="B4" sqref="B4:K4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9" width="13.5703125" style="158" bestFit="1" customWidth="1"/>
    <col min="10" max="10" width="12.28515625" style="158" customWidth="1"/>
    <col min="11" max="11" width="17.28515625" style="158" bestFit="1" customWidth="1"/>
    <col min="12" max="13" width="11.42578125" style="158"/>
    <col min="14" max="14" width="20.140625" style="158" customWidth="1"/>
    <col min="15" max="16384" width="11.42578125" style="158"/>
  </cols>
  <sheetData>
    <row r="1" spans="1:15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26</v>
      </c>
      <c r="H1" s="179"/>
      <c r="I1" s="157" t="s">
        <v>142</v>
      </c>
      <c r="J1" s="240">
        <v>44004</v>
      </c>
      <c r="K1" s="241"/>
    </row>
    <row r="2" spans="1:15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5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5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5" ht="15" thickBot="1"/>
    <row r="6" spans="1:15" s="160" customFormat="1" ht="13.5" thickBot="1">
      <c r="A6" s="183" t="s">
        <v>145</v>
      </c>
      <c r="B6" s="246" t="s">
        <v>146</v>
      </c>
      <c r="C6" s="246"/>
      <c r="D6" s="246"/>
      <c r="E6" s="246"/>
      <c r="F6" s="246"/>
      <c r="G6" s="246"/>
      <c r="H6" s="246"/>
      <c r="I6" s="183" t="s">
        <v>147</v>
      </c>
      <c r="J6" s="183" t="s">
        <v>148</v>
      </c>
      <c r="K6" s="183" t="s">
        <v>149</v>
      </c>
    </row>
    <row r="7" spans="1:15" ht="15">
      <c r="A7" s="170" t="s">
        <v>173</v>
      </c>
      <c r="B7" s="247"/>
      <c r="C7" s="248"/>
      <c r="D7" s="248"/>
      <c r="E7" s="248"/>
      <c r="F7" s="248"/>
      <c r="G7" s="248"/>
      <c r="H7" s="249"/>
      <c r="I7" s="171"/>
      <c r="J7" s="171"/>
      <c r="K7" s="161">
        <f>IF(A7="",0,IF(VLOOKUP(A7,Services[],2,0)="",(J7-I7)*24,VLOOKUP(A7,Services[],2,0)))</f>
        <v>9</v>
      </c>
      <c r="N7" s="189" t="s">
        <v>182</v>
      </c>
    </row>
    <row r="8" spans="1:15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>IF(A8="",0,IF(VLOOKUP(A8,Services[],2,0)="",(J8-I8)*24,VLOOKUP(A8,Services[],2,0)))</f>
        <v>0</v>
      </c>
    </row>
    <row r="9" spans="1:15">
      <c r="A9" s="172"/>
      <c r="B9" s="236"/>
      <c r="C9" s="237"/>
      <c r="D9" s="237"/>
      <c r="E9" s="237"/>
      <c r="F9" s="237"/>
      <c r="G9" s="237"/>
      <c r="H9" s="238"/>
      <c r="I9" s="175"/>
      <c r="J9" s="175"/>
      <c r="K9" s="162">
        <f>IF(A9="",0,IF(VLOOKUP(A9,Services[],2,0)="",(J9-I9)*24,VLOOKUP(A9,Services[],2,0)))</f>
        <v>0</v>
      </c>
      <c r="N9" s="158" t="s">
        <v>184</v>
      </c>
    </row>
    <row r="10" spans="1:15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2">
        <f>IF(A10="",0,IF(VLOOKUP(A10,Services[],2,0)="",(J10-I10)*24,VLOOKUP(A10,Services[],2,0)))</f>
        <v>0</v>
      </c>
    </row>
    <row r="11" spans="1:15" ht="15">
      <c r="A11" s="176" t="s">
        <v>124</v>
      </c>
      <c r="B11" s="236"/>
      <c r="C11" s="237"/>
      <c r="D11" s="237"/>
      <c r="E11" s="237"/>
      <c r="F11" s="237"/>
      <c r="G11" s="237"/>
      <c r="H11" s="238"/>
      <c r="I11" s="175">
        <v>0.3125</v>
      </c>
      <c r="J11" s="175">
        <v>0.593749999999999</v>
      </c>
      <c r="K11" s="162">
        <f>IF(A11="",0,IF(VLOOKUP(A11,Services[],2,0)="",(J11-I11)*24,VLOOKUP(A11,Services[],2,0)))</f>
        <v>6.749999999999976</v>
      </c>
      <c r="N11" s="185" t="s">
        <v>173</v>
      </c>
      <c r="O11" s="186">
        <v>9</v>
      </c>
    </row>
    <row r="12" spans="1:15" ht="15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2">
        <f>IF(A12="",0,IF(VLOOKUP(A12,Services[],2,0)="",(J12-I12)*24,VLOOKUP(A12,Services[],2,0)))</f>
        <v>0</v>
      </c>
      <c r="N12" s="187" t="s">
        <v>175</v>
      </c>
      <c r="O12" s="188">
        <v>5</v>
      </c>
    </row>
    <row r="13" spans="1:15" ht="15">
      <c r="A13" s="174"/>
      <c r="B13" s="236"/>
      <c r="C13" s="237"/>
      <c r="D13" s="237"/>
      <c r="E13" s="237"/>
      <c r="F13" s="237"/>
      <c r="G13" s="237"/>
      <c r="H13" s="238"/>
      <c r="I13" s="175">
        <v>0.3125</v>
      </c>
      <c r="J13" s="175">
        <v>0.593749999999999</v>
      </c>
      <c r="K13" s="163">
        <f>IF(A13="",0,IF(VLOOKUP(A13,Services[],2,0)="",(J13-I13)*24,VLOOKUP(A13,Services[],2,0)))</f>
        <v>0</v>
      </c>
      <c r="N13" s="185" t="s">
        <v>176</v>
      </c>
      <c r="O13" s="186">
        <v>7</v>
      </c>
    </row>
    <row r="14" spans="1:15" ht="15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2">
        <f>IF(A14="",0,IF(VLOOKUP(A14,Services[],2,0)="",(J14-I14)*24,VLOOKUP(A14,Services[],2,0)))</f>
        <v>0</v>
      </c>
      <c r="N14" s="187" t="s">
        <v>179</v>
      </c>
      <c r="O14" s="188">
        <v>8.5</v>
      </c>
    </row>
    <row r="15" spans="1:15" ht="15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2">
        <f>IF(A15="",0,IF(VLOOKUP(A15,Services[],2,0)="",(J15-I15)*24,VLOOKUP(A15,Services[],2,0)))</f>
        <v>0</v>
      </c>
      <c r="N15" s="185" t="s">
        <v>168</v>
      </c>
      <c r="O15" s="186">
        <v>8.5</v>
      </c>
    </row>
    <row r="16" spans="1:15" ht="15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2">
        <f>IF(A16="",0,IF(VLOOKUP(A16,Services[],2,0)="",(J16-I16)*24,VLOOKUP(A16,Services[],2,0)))</f>
        <v>0</v>
      </c>
      <c r="N16" s="187" t="s">
        <v>169</v>
      </c>
      <c r="O16" s="188">
        <v>8</v>
      </c>
    </row>
    <row r="17" spans="1:15" ht="15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2">
        <f>IF(A17="",0,IF(VLOOKUP(A17,Services[],2,0)="",(J17-I17)*24,VLOOKUP(A17,Services[],2,0)))</f>
        <v>0</v>
      </c>
      <c r="N17" s="185" t="s">
        <v>170</v>
      </c>
      <c r="O17" s="186">
        <v>8</v>
      </c>
    </row>
    <row r="18" spans="1:15" ht="15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2">
        <f>IF(A18="",0,IF(VLOOKUP(A18,Services[],2,0)="",(J18-I18)*24,VLOOKUP(A18,Services[],2,0)))</f>
        <v>0</v>
      </c>
      <c r="N18" s="187" t="s">
        <v>171</v>
      </c>
      <c r="O18" s="188">
        <v>7.83</v>
      </c>
    </row>
    <row r="19" spans="1:15" ht="15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2">
        <f>IF(A19="",0,IF(VLOOKUP(A19,Services[],2,0)="",(J19-I19)*24,VLOOKUP(A19,Services[],2,0)))</f>
        <v>0</v>
      </c>
      <c r="N19" s="185" t="s">
        <v>172</v>
      </c>
      <c r="O19" s="186">
        <v>8</v>
      </c>
    </row>
    <row r="20" spans="1:15" ht="15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2">
        <f>IF(A20="",0,IF(VLOOKUP(A20,Services[],2,0)="",(J20-I20)*24,VLOOKUP(A20,Services[],2,0)))</f>
        <v>0</v>
      </c>
      <c r="N20" s="187" t="s">
        <v>174</v>
      </c>
      <c r="O20" s="188">
        <v>9</v>
      </c>
    </row>
    <row r="21" spans="1:15" ht="15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2">
        <f>IF(A21="",0,IF(VLOOKUP(A21,Services[],2,0)="",(J21-I21)*24,VLOOKUP(A21,Services[],2,0)))</f>
        <v>0</v>
      </c>
      <c r="N21" s="185" t="s">
        <v>177</v>
      </c>
      <c r="O21" s="186">
        <v>8</v>
      </c>
    </row>
    <row r="22" spans="1:15" ht="15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2">
        <f>IF(A22="",0,IF(VLOOKUP(A22,Services[],2,0)="",(J22-I22)*24,VLOOKUP(A22,Services[],2,0)))</f>
        <v>0</v>
      </c>
      <c r="N22" s="187" t="s">
        <v>178</v>
      </c>
      <c r="O22" s="188">
        <v>8</v>
      </c>
    </row>
    <row r="23" spans="1:15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2">
        <f>IF(A23="",0,IF(VLOOKUP(A23,Services[],2,0)="",(J23-I23)*24,VLOOKUP(A23,Services[],2,0)))</f>
        <v>0</v>
      </c>
    </row>
    <row r="24" spans="1:15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2">
        <f>IF(A24="",0,IF(VLOOKUP(A24,Services[],2,0)="",(J24-I24)*24,VLOOKUP(A24,Services[],2,0)))</f>
        <v>0</v>
      </c>
    </row>
    <row r="25" spans="1:15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2">
        <f>IF(A25="",0,IF(VLOOKUP(A25,Services[],2,0)="",(J25-I25)*24,VLOOKUP(A25,Services[],2,0)))</f>
        <v>0</v>
      </c>
    </row>
    <row r="26" spans="1:15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2">
        <f>IF(A26="",0,IF(VLOOKUP(A26,Services[],2,0)="",(J26-I26)*24,VLOOKUP(A26,Services[],2,0)))</f>
        <v>0</v>
      </c>
    </row>
    <row r="27" spans="1:15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2">
        <f>IF(A27="",0,IF(VLOOKUP(A27,Services[],2,0)="",(J27-I27)*24,VLOOKUP(A27,Services[],2,0)))</f>
        <v>0</v>
      </c>
      <c r="N27" s="158" t="s">
        <v>183</v>
      </c>
    </row>
    <row r="28" spans="1:15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2">
        <f>IF(A28="",0,IF(VLOOKUP(A28,Services[],2,0)="",(J28-I28)*24,VLOOKUP(A28,Services[],2,0)))</f>
        <v>0</v>
      </c>
    </row>
    <row r="29" spans="1:15" ht="15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2">
        <f>IF(A29="",0,IF(VLOOKUP(A29,Services[],2,0)="",(J29-I29)*24,VLOOKUP(A29,Services[],2,0)))</f>
        <v>0</v>
      </c>
      <c r="N29" s="185" t="s">
        <v>124</v>
      </c>
      <c r="O29" s="186"/>
    </row>
    <row r="30" spans="1:15" ht="15.7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2">
        <f>IF(A30="",0,IF(VLOOKUP(A30,Services[],2,0)="",(J30-I30)*24,VLOOKUP(A30,Services[],2,0)))</f>
        <v>0</v>
      </c>
      <c r="N30" s="187" t="s">
        <v>126</v>
      </c>
      <c r="O30" s="188"/>
    </row>
    <row r="31" spans="1:15" ht="15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SUMIFS(K7:K30,A7:A30,"ATELIER")</f>
        <v>6.749999999999976</v>
      </c>
      <c r="N31" s="185" t="s">
        <v>150</v>
      </c>
      <c r="O31" s="186"/>
    </row>
    <row r="32" spans="1:15" ht="15.7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SUMIFS(K7:K30,A7:A30,"INFORMATIQUE")</f>
        <v>0</v>
      </c>
      <c r="N32" s="187" t="s">
        <v>159</v>
      </c>
      <c r="O32" s="188"/>
    </row>
    <row r="33" spans="1:14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6.749999999999976</v>
      </c>
    </row>
    <row r="34" spans="1:14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K33</f>
        <v>6.749999999999976</v>
      </c>
      <c r="N34" s="158" t="s">
        <v>185</v>
      </c>
    </row>
    <row r="35" spans="1:14">
      <c r="N35" s="158" t="s">
        <v>186</v>
      </c>
    </row>
  </sheetData>
  <mergeCells count="34"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</mergeCells>
  <conditionalFormatting sqref="K31:K33">
    <cfRule type="cellIs" dxfId="173" priority="12" operator="notEqual">
      <formula>0</formula>
    </cfRule>
  </conditionalFormatting>
  <conditionalFormatting sqref="A11:A32 A7:A9">
    <cfRule type="cellIs" dxfId="172" priority="10" operator="equal">
      <formula>"INFORMATIQUE"</formula>
    </cfRule>
    <cfRule type="cellIs" dxfId="171" priority="11" operator="equal">
      <formula>"ATELIER"</formula>
    </cfRule>
  </conditionalFormatting>
  <conditionalFormatting sqref="K31">
    <cfRule type="cellIs" dxfId="170" priority="9" operator="notEqual">
      <formula>0</formula>
    </cfRule>
  </conditionalFormatting>
  <conditionalFormatting sqref="K32">
    <cfRule type="cellIs" dxfId="169" priority="8" operator="notEqual">
      <formula>0</formula>
    </cfRule>
  </conditionalFormatting>
  <conditionalFormatting sqref="K34">
    <cfRule type="cellIs" dxfId="168" priority="5" operator="greaterThan">
      <formula>34.2</formula>
    </cfRule>
    <cfRule type="cellIs" dxfId="167" priority="6" operator="lessThanOrEqual">
      <formula>34.2</formula>
    </cfRule>
    <cfRule type="cellIs" dxfId="166" priority="7" operator="notEqual">
      <formula>0</formula>
    </cfRule>
  </conditionalFormatting>
  <conditionalFormatting sqref="A10">
    <cfRule type="cellIs" dxfId="165" priority="3" operator="equal">
      <formula>"INFORMATIQUE"</formula>
    </cfRule>
    <cfRule type="cellIs" dxfId="164" priority="4" operator="equal">
      <formula>"ATELIER"</formula>
    </cfRule>
  </conditionalFormatting>
  <conditionalFormatting sqref="K7:K12 K14:K30">
    <cfRule type="cellIs" dxfId="0" priority="2" operator="notEqual">
      <formula>0</formula>
    </cfRule>
  </conditionalFormatting>
  <conditionalFormatting sqref="K13">
    <cfRule type="cellIs" dxfId="163" priority="1" operator="notEqual">
      <formula>0</formula>
    </cfRule>
  </conditionalFormatting>
  <dataValidations count="3">
    <dataValidation type="list" errorStyle="information" allowBlank="1" sqref="I7:J30">
      <formula1>Heure</formula1>
    </dataValidation>
    <dataValidation type="list" allowBlank="1" sqref="A7:A30">
      <formula1>Service</formula1>
    </dataValidation>
    <dataValidation type="list" allowBlank="1" sqref="B7:H30">
      <formula1>Travail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theme="4" tint="-0.249977111117893"/>
  </sheetPr>
  <dimension ref="A1:O61"/>
  <sheetViews>
    <sheetView showGridLines="0" workbookViewId="0">
      <selection activeCell="M2" sqref="M2"/>
    </sheetView>
  </sheetViews>
  <sheetFormatPr baseColWidth="10" defaultRowHeight="15"/>
  <cols>
    <col min="1" max="1" width="20.7109375" style="287" bestFit="1" customWidth="1"/>
    <col min="2" max="2" width="13.28515625" style="287" bestFit="1" customWidth="1"/>
    <col min="3" max="3" width="3.140625" style="287" customWidth="1"/>
    <col min="4" max="4" width="21.85546875" style="286" customWidth="1"/>
    <col min="5" max="5" width="3.140625" style="286" customWidth="1"/>
    <col min="6" max="6" width="11.42578125" style="286"/>
    <col min="7" max="7" width="3.140625" style="286" customWidth="1"/>
    <col min="8" max="9" width="17.42578125" style="286" customWidth="1"/>
    <col min="10" max="10" width="3.140625" style="286" customWidth="1"/>
    <col min="11" max="11" width="17.42578125" style="290" customWidth="1"/>
    <col min="12" max="12" width="3.140625" style="290" customWidth="1"/>
    <col min="13" max="13" width="55.85546875" style="286" bestFit="1" customWidth="1"/>
    <col min="14" max="14" width="2.7109375" style="286" customWidth="1"/>
    <col min="15" max="15" width="19.42578125" style="286" bestFit="1" customWidth="1"/>
    <col min="16" max="16" width="13.28515625" style="286" bestFit="1" customWidth="1"/>
    <col min="17" max="17" width="30" style="286" bestFit="1" customWidth="1"/>
    <col min="18" max="16384" width="11.42578125" style="286"/>
  </cols>
  <sheetData>
    <row r="1" spans="1:15">
      <c r="A1" s="284" t="s">
        <v>37</v>
      </c>
      <c r="B1" s="284" t="s">
        <v>10</v>
      </c>
      <c r="C1" s="284"/>
      <c r="D1" s="284" t="s">
        <v>38</v>
      </c>
      <c r="E1" s="284"/>
      <c r="F1" s="284" t="s">
        <v>74</v>
      </c>
      <c r="G1" s="284"/>
      <c r="H1" s="284" t="s">
        <v>156</v>
      </c>
      <c r="I1" s="284" t="s">
        <v>180</v>
      </c>
      <c r="J1" s="284"/>
      <c r="K1" s="285" t="s">
        <v>157</v>
      </c>
      <c r="L1" s="285"/>
      <c r="M1" s="284" t="s">
        <v>158</v>
      </c>
      <c r="N1" s="284"/>
      <c r="O1" s="284" t="s">
        <v>103</v>
      </c>
    </row>
    <row r="2" spans="1:15">
      <c r="A2" s="287" t="s">
        <v>29</v>
      </c>
      <c r="B2" s="287" t="s">
        <v>30</v>
      </c>
      <c r="D2" s="287" t="s">
        <v>181</v>
      </c>
      <c r="E2" s="287"/>
      <c r="F2" s="287" t="s">
        <v>13</v>
      </c>
      <c r="G2" s="287"/>
      <c r="H2" s="287" t="s">
        <v>173</v>
      </c>
      <c r="I2" s="288">
        <v>9</v>
      </c>
      <c r="J2" s="288"/>
      <c r="K2" s="289">
        <v>0.3125</v>
      </c>
      <c r="L2" s="289"/>
      <c r="M2" s="287" t="s">
        <v>151</v>
      </c>
      <c r="N2" s="287"/>
      <c r="O2" s="287">
        <v>1</v>
      </c>
    </row>
    <row r="3" spans="1:15">
      <c r="A3" s="287" t="s">
        <v>83</v>
      </c>
      <c r="B3" s="287" t="s">
        <v>90</v>
      </c>
      <c r="D3" s="287"/>
      <c r="E3" s="287"/>
      <c r="F3" s="287" t="s">
        <v>75</v>
      </c>
      <c r="G3" s="287"/>
      <c r="H3" s="287" t="s">
        <v>175</v>
      </c>
      <c r="I3" s="288">
        <v>5</v>
      </c>
      <c r="J3" s="288"/>
      <c r="K3" s="289">
        <v>0.32291666666666702</v>
      </c>
      <c r="L3" s="289"/>
      <c r="M3" s="287" t="s">
        <v>152</v>
      </c>
      <c r="N3" s="287"/>
      <c r="O3" s="287">
        <v>2</v>
      </c>
    </row>
    <row r="4" spans="1:15">
      <c r="A4" s="287" t="s">
        <v>84</v>
      </c>
      <c r="B4" s="287" t="s">
        <v>91</v>
      </c>
      <c r="D4" s="287"/>
      <c r="E4" s="287"/>
      <c r="F4" s="287" t="s">
        <v>15</v>
      </c>
      <c r="G4" s="287"/>
      <c r="H4" s="287" t="s">
        <v>176</v>
      </c>
      <c r="I4" s="288">
        <v>7</v>
      </c>
      <c r="J4" s="288"/>
      <c r="K4" s="289">
        <v>0.33333333333333298</v>
      </c>
      <c r="L4" s="289"/>
      <c r="M4" s="287" t="s">
        <v>164</v>
      </c>
      <c r="N4" s="287"/>
      <c r="O4" s="287">
        <v>3</v>
      </c>
    </row>
    <row r="5" spans="1:15">
      <c r="A5" s="287" t="s">
        <v>85</v>
      </c>
      <c r="B5" s="287" t="s">
        <v>92</v>
      </c>
      <c r="D5" s="287"/>
      <c r="E5" s="287"/>
      <c r="F5" s="287" t="s">
        <v>16</v>
      </c>
      <c r="G5" s="287"/>
      <c r="H5" s="287" t="s">
        <v>179</v>
      </c>
      <c r="I5" s="288">
        <v>8.5</v>
      </c>
      <c r="J5" s="288"/>
      <c r="K5" s="289">
        <v>0.34375</v>
      </c>
      <c r="L5" s="289"/>
      <c r="M5" s="287" t="s">
        <v>165</v>
      </c>
      <c r="N5" s="287"/>
      <c r="O5" s="287">
        <v>4</v>
      </c>
    </row>
    <row r="6" spans="1:15">
      <c r="A6" s="287" t="s">
        <v>86</v>
      </c>
      <c r="B6" s="287" t="s">
        <v>93</v>
      </c>
      <c r="D6" s="287"/>
      <c r="E6" s="287"/>
      <c r="F6" s="287" t="s">
        <v>17</v>
      </c>
      <c r="G6" s="287"/>
      <c r="H6" s="287" t="s">
        <v>168</v>
      </c>
      <c r="I6" s="288">
        <v>8.5</v>
      </c>
      <c r="J6" s="288"/>
      <c r="K6" s="289">
        <v>0.35416666666666602</v>
      </c>
      <c r="L6" s="289"/>
      <c r="M6" s="287" t="s">
        <v>166</v>
      </c>
      <c r="N6" s="287"/>
      <c r="O6" s="287">
        <v>5</v>
      </c>
    </row>
    <row r="7" spans="1:15">
      <c r="A7" s="287" t="s">
        <v>101</v>
      </c>
      <c r="B7" s="287" t="s">
        <v>102</v>
      </c>
      <c r="D7" s="287"/>
      <c r="E7" s="287"/>
      <c r="F7" s="287" t="s">
        <v>18</v>
      </c>
      <c r="G7" s="287"/>
      <c r="H7" s="287" t="s">
        <v>169</v>
      </c>
      <c r="I7" s="288">
        <v>8</v>
      </c>
      <c r="J7" s="288"/>
      <c r="K7" s="289">
        <v>0.36458333333333298</v>
      </c>
      <c r="L7" s="289"/>
      <c r="M7" s="287" t="s">
        <v>163</v>
      </c>
      <c r="N7" s="287"/>
      <c r="O7" s="287">
        <v>6</v>
      </c>
    </row>
    <row r="8" spans="1:15">
      <c r="A8" s="287" t="s">
        <v>36</v>
      </c>
      <c r="B8" s="287" t="s">
        <v>33</v>
      </c>
      <c r="D8" s="287"/>
      <c r="E8" s="287"/>
      <c r="F8" s="287" t="s">
        <v>19</v>
      </c>
      <c r="G8" s="287"/>
      <c r="H8" s="287" t="s">
        <v>170</v>
      </c>
      <c r="I8" s="288">
        <v>8</v>
      </c>
      <c r="J8" s="288"/>
      <c r="K8" s="289">
        <v>0.375</v>
      </c>
      <c r="L8" s="289"/>
      <c r="M8" s="287" t="s">
        <v>122</v>
      </c>
      <c r="N8" s="287"/>
      <c r="O8" s="287">
        <v>7</v>
      </c>
    </row>
    <row r="9" spans="1:15">
      <c r="A9" s="287" t="s">
        <v>27</v>
      </c>
      <c r="B9" s="287" t="s">
        <v>28</v>
      </c>
      <c r="D9" s="287"/>
      <c r="E9" s="287"/>
      <c r="F9" s="287" t="s">
        <v>20</v>
      </c>
      <c r="G9" s="287"/>
      <c r="H9" s="287" t="s">
        <v>171</v>
      </c>
      <c r="I9" s="288">
        <v>7.83</v>
      </c>
      <c r="J9" s="288"/>
      <c r="K9" s="289">
        <v>0.38541666666666602</v>
      </c>
      <c r="L9" s="289"/>
      <c r="M9" s="287" t="s">
        <v>123</v>
      </c>
      <c r="N9" s="287"/>
      <c r="O9" s="287">
        <v>8</v>
      </c>
    </row>
    <row r="10" spans="1:15">
      <c r="A10" s="287" t="s">
        <v>31</v>
      </c>
      <c r="B10" s="287" t="s">
        <v>32</v>
      </c>
      <c r="D10" s="287"/>
      <c r="E10" s="287"/>
      <c r="F10" s="287" t="s">
        <v>21</v>
      </c>
      <c r="G10" s="287"/>
      <c r="H10" s="287" t="s">
        <v>172</v>
      </c>
      <c r="I10" s="288">
        <v>8</v>
      </c>
      <c r="J10" s="288"/>
      <c r="K10" s="289">
        <v>0.39583333333333298</v>
      </c>
      <c r="L10" s="289"/>
      <c r="M10" s="287" t="s">
        <v>116</v>
      </c>
      <c r="N10" s="287"/>
      <c r="O10" s="287">
        <v>9</v>
      </c>
    </row>
    <row r="11" spans="1:15">
      <c r="A11" s="287" t="s">
        <v>87</v>
      </c>
      <c r="B11" s="287" t="s">
        <v>94</v>
      </c>
      <c r="D11" s="287"/>
      <c r="E11" s="287"/>
      <c r="F11" s="287" t="s">
        <v>22</v>
      </c>
      <c r="G11" s="287"/>
      <c r="H11" s="287" t="s">
        <v>174</v>
      </c>
      <c r="I11" s="288">
        <v>9</v>
      </c>
      <c r="J11" s="288"/>
      <c r="K11" s="289">
        <v>0.40625</v>
      </c>
      <c r="L11" s="289"/>
      <c r="M11" s="287" t="s">
        <v>45</v>
      </c>
      <c r="N11" s="287"/>
      <c r="O11" s="287">
        <v>10</v>
      </c>
    </row>
    <row r="12" spans="1:15">
      <c r="A12" s="287" t="s">
        <v>115</v>
      </c>
      <c r="B12" s="287" t="s">
        <v>120</v>
      </c>
      <c r="D12" s="287"/>
      <c r="E12" s="287"/>
      <c r="F12" s="287" t="s">
        <v>23</v>
      </c>
      <c r="G12" s="287"/>
      <c r="H12" s="287" t="s">
        <v>177</v>
      </c>
      <c r="I12" s="288">
        <v>8</v>
      </c>
      <c r="J12" s="288"/>
      <c r="K12" s="289">
        <v>0.41666666666666602</v>
      </c>
      <c r="L12" s="289"/>
      <c r="M12" s="287" t="s">
        <v>129</v>
      </c>
      <c r="N12" s="287"/>
      <c r="O12" s="287">
        <v>11</v>
      </c>
    </row>
    <row r="13" spans="1:15">
      <c r="A13" s="287" t="s">
        <v>88</v>
      </c>
      <c r="B13" s="287" t="s">
        <v>89</v>
      </c>
      <c r="D13" s="287"/>
      <c r="E13" s="287"/>
      <c r="F13" s="287" t="s">
        <v>24</v>
      </c>
      <c r="G13" s="287"/>
      <c r="H13" s="287" t="s">
        <v>178</v>
      </c>
      <c r="I13" s="288">
        <v>8</v>
      </c>
      <c r="J13" s="288"/>
      <c r="K13" s="289">
        <v>0.42708333333333298</v>
      </c>
      <c r="L13" s="289"/>
      <c r="M13" s="287" t="s">
        <v>28</v>
      </c>
      <c r="N13" s="287"/>
      <c r="O13" s="287">
        <v>12</v>
      </c>
    </row>
    <row r="14" spans="1:15">
      <c r="A14" s="287" t="s">
        <v>8</v>
      </c>
      <c r="B14" s="287" t="s">
        <v>0</v>
      </c>
      <c r="D14" s="287"/>
      <c r="E14" s="287"/>
      <c r="F14" s="287"/>
      <c r="G14" s="287"/>
      <c r="H14" s="287" t="s">
        <v>124</v>
      </c>
      <c r="I14" s="288"/>
      <c r="J14" s="288"/>
      <c r="K14" s="289">
        <v>0.437499999999999</v>
      </c>
      <c r="L14" s="289"/>
      <c r="M14" s="287"/>
      <c r="N14" s="287"/>
      <c r="O14" s="287">
        <v>13</v>
      </c>
    </row>
    <row r="15" spans="1:15">
      <c r="A15" s="287" t="s">
        <v>9</v>
      </c>
      <c r="B15" s="287" t="s">
        <v>1</v>
      </c>
      <c r="D15" s="287"/>
      <c r="E15" s="287"/>
      <c r="F15" s="287"/>
      <c r="G15" s="287"/>
      <c r="H15" s="287" t="s">
        <v>126</v>
      </c>
      <c r="I15" s="288"/>
      <c r="J15" s="288"/>
      <c r="K15" s="289">
        <v>0.44791666666666602</v>
      </c>
      <c r="L15" s="289"/>
      <c r="M15" s="287"/>
      <c r="N15" s="287"/>
      <c r="O15" s="287">
        <v>14</v>
      </c>
    </row>
    <row r="16" spans="1:15">
      <c r="A16" s="287" t="s">
        <v>113</v>
      </c>
      <c r="B16" s="287" t="s">
        <v>114</v>
      </c>
      <c r="D16" s="287"/>
      <c r="E16" s="287"/>
      <c r="F16" s="287"/>
      <c r="G16" s="287"/>
      <c r="H16" s="287" t="s">
        <v>150</v>
      </c>
      <c r="I16" s="288"/>
      <c r="J16" s="288"/>
      <c r="K16" s="289">
        <v>0.45833333333333298</v>
      </c>
      <c r="L16" s="289"/>
      <c r="M16" s="287"/>
      <c r="N16" s="287"/>
      <c r="O16" s="287"/>
    </row>
    <row r="17" spans="1:15">
      <c r="A17" s="287" t="s">
        <v>34</v>
      </c>
      <c r="B17" s="287" t="s">
        <v>35</v>
      </c>
      <c r="D17" s="287"/>
      <c r="E17" s="287"/>
      <c r="F17" s="287"/>
      <c r="G17" s="287"/>
      <c r="H17" s="287" t="s">
        <v>159</v>
      </c>
      <c r="I17" s="288"/>
      <c r="J17" s="288"/>
      <c r="K17" s="289">
        <v>0.468749999999999</v>
      </c>
      <c r="L17" s="289"/>
      <c r="M17" s="287"/>
      <c r="N17" s="287"/>
      <c r="O17" s="287"/>
    </row>
    <row r="18" spans="1:15">
      <c r="D18" s="287"/>
      <c r="E18" s="287"/>
      <c r="F18" s="287"/>
      <c r="G18" s="287"/>
      <c r="H18" s="287"/>
      <c r="I18" s="288"/>
      <c r="J18" s="288"/>
      <c r="K18" s="289">
        <v>0.47916666666666602</v>
      </c>
      <c r="L18" s="289"/>
      <c r="M18" s="287"/>
      <c r="N18" s="287"/>
      <c r="O18" s="287"/>
    </row>
    <row r="19" spans="1:15">
      <c r="D19" s="287"/>
      <c r="E19" s="287"/>
      <c r="F19" s="287"/>
      <c r="G19" s="287"/>
      <c r="H19" s="287"/>
      <c r="I19" s="288"/>
      <c r="J19" s="288"/>
      <c r="K19" s="289">
        <v>0.48958333333333298</v>
      </c>
      <c r="L19" s="289"/>
      <c r="M19" s="287"/>
      <c r="N19" s="287"/>
      <c r="O19" s="287"/>
    </row>
    <row r="20" spans="1:15">
      <c r="D20" s="287"/>
      <c r="E20" s="287"/>
      <c r="F20" s="287"/>
      <c r="G20" s="287"/>
      <c r="H20" s="287"/>
      <c r="I20" s="288"/>
      <c r="J20" s="288"/>
      <c r="K20" s="289">
        <v>0.499999999999999</v>
      </c>
      <c r="L20" s="289"/>
      <c r="M20" s="287"/>
      <c r="N20" s="287"/>
      <c r="O20" s="287"/>
    </row>
    <row r="21" spans="1:15">
      <c r="D21" s="287"/>
      <c r="E21" s="287"/>
      <c r="F21" s="287"/>
      <c r="G21" s="287"/>
      <c r="H21" s="287"/>
      <c r="I21" s="288"/>
      <c r="J21" s="288"/>
      <c r="K21" s="289">
        <v>0.51041666666666596</v>
      </c>
      <c r="L21" s="289"/>
      <c r="M21" s="287"/>
      <c r="N21" s="287"/>
      <c r="O21" s="287"/>
    </row>
    <row r="22" spans="1:15">
      <c r="D22" s="287"/>
      <c r="E22" s="287"/>
      <c r="F22" s="287"/>
      <c r="G22" s="287"/>
      <c r="H22" s="287"/>
      <c r="I22" s="288"/>
      <c r="J22" s="288"/>
      <c r="K22" s="289">
        <v>0.52083333333333304</v>
      </c>
      <c r="L22" s="289"/>
      <c r="M22" s="287"/>
      <c r="N22" s="287"/>
      <c r="O22" s="287"/>
    </row>
    <row r="23" spans="1:15">
      <c r="D23" s="287"/>
      <c r="E23" s="287"/>
      <c r="F23" s="287"/>
      <c r="G23" s="287"/>
      <c r="H23" s="287"/>
      <c r="I23" s="288"/>
      <c r="J23" s="288"/>
      <c r="K23" s="289">
        <v>0.5229166666666667</v>
      </c>
      <c r="L23" s="289"/>
      <c r="M23" s="287"/>
      <c r="N23" s="287"/>
      <c r="O23" s="287"/>
    </row>
    <row r="24" spans="1:15">
      <c r="D24" s="287"/>
      <c r="E24" s="287"/>
      <c r="F24" s="287"/>
      <c r="G24" s="287"/>
      <c r="H24" s="287"/>
      <c r="I24" s="288"/>
      <c r="J24" s="288"/>
      <c r="K24" s="289">
        <v>0.531249999999999</v>
      </c>
      <c r="L24" s="289"/>
      <c r="M24" s="287"/>
      <c r="N24" s="287"/>
      <c r="O24" s="287"/>
    </row>
    <row r="25" spans="1:15">
      <c r="D25" s="287"/>
      <c r="E25" s="287"/>
      <c r="F25" s="287"/>
      <c r="G25" s="287"/>
      <c r="H25" s="287"/>
      <c r="I25" s="288"/>
      <c r="J25" s="288"/>
      <c r="K25" s="289">
        <v>0.54166666666666596</v>
      </c>
      <c r="L25" s="289"/>
      <c r="M25" s="287"/>
      <c r="N25" s="287"/>
      <c r="O25" s="287"/>
    </row>
    <row r="26" spans="1:15">
      <c r="D26" s="287"/>
      <c r="E26" s="287"/>
      <c r="F26" s="287"/>
      <c r="G26" s="287"/>
      <c r="H26" s="287"/>
      <c r="I26" s="288"/>
      <c r="J26" s="288"/>
      <c r="K26" s="289">
        <v>0.55208333333333304</v>
      </c>
      <c r="L26" s="289"/>
      <c r="M26" s="287"/>
      <c r="N26" s="287"/>
      <c r="O26" s="287"/>
    </row>
    <row r="27" spans="1:15">
      <c r="D27" s="287"/>
      <c r="E27" s="287"/>
      <c r="F27" s="287"/>
      <c r="G27" s="287"/>
      <c r="H27" s="287"/>
      <c r="I27" s="288"/>
      <c r="J27" s="288"/>
      <c r="K27" s="289">
        <v>0.562499999999999</v>
      </c>
      <c r="L27" s="289"/>
      <c r="M27" s="287"/>
      <c r="N27" s="287"/>
      <c r="O27" s="287"/>
    </row>
    <row r="28" spans="1:15">
      <c r="D28" s="287"/>
      <c r="E28" s="287"/>
      <c r="F28" s="287"/>
      <c r="G28" s="287"/>
      <c r="H28" s="287"/>
      <c r="I28" s="288"/>
      <c r="J28" s="288"/>
      <c r="K28" s="289">
        <v>0.57291666666666596</v>
      </c>
      <c r="L28" s="289"/>
      <c r="M28" s="287"/>
      <c r="N28" s="287"/>
      <c r="O28" s="287"/>
    </row>
    <row r="29" spans="1:15">
      <c r="D29" s="287"/>
      <c r="E29" s="287"/>
      <c r="F29" s="287"/>
      <c r="G29" s="287"/>
      <c r="H29" s="287"/>
      <c r="I29" s="288"/>
      <c r="J29" s="288"/>
      <c r="K29" s="289">
        <v>0.58333333333333304</v>
      </c>
      <c r="L29" s="289"/>
      <c r="M29" s="287"/>
      <c r="N29" s="287"/>
      <c r="O29" s="287"/>
    </row>
    <row r="30" spans="1:15">
      <c r="D30" s="287"/>
      <c r="E30" s="287"/>
      <c r="F30" s="287"/>
      <c r="G30" s="287"/>
      <c r="H30" s="287"/>
      <c r="I30" s="288"/>
      <c r="J30" s="288"/>
      <c r="K30" s="289">
        <v>0.593749999999999</v>
      </c>
      <c r="L30" s="289"/>
      <c r="M30" s="287"/>
      <c r="N30" s="287"/>
      <c r="O30" s="287"/>
    </row>
    <row r="31" spans="1:15">
      <c r="D31" s="287"/>
      <c r="E31" s="287"/>
      <c r="F31" s="287"/>
      <c r="G31" s="287"/>
      <c r="H31" s="287"/>
      <c r="I31" s="288"/>
      <c r="J31" s="288"/>
      <c r="K31" s="289">
        <v>0.60416666666666596</v>
      </c>
      <c r="L31" s="289"/>
      <c r="M31" s="287"/>
      <c r="N31" s="287"/>
      <c r="O31" s="287"/>
    </row>
    <row r="32" spans="1:15">
      <c r="D32" s="287"/>
      <c r="E32" s="287"/>
      <c r="F32" s="287"/>
      <c r="G32" s="287"/>
      <c r="H32" s="287"/>
      <c r="I32" s="288"/>
      <c r="J32" s="288"/>
      <c r="K32" s="289">
        <v>0.61458333333333304</v>
      </c>
      <c r="L32" s="289"/>
      <c r="M32" s="287"/>
      <c r="N32" s="287"/>
      <c r="O32" s="287"/>
    </row>
    <row r="33" spans="4:15">
      <c r="D33" s="287"/>
      <c r="E33" s="287"/>
      <c r="F33" s="287"/>
      <c r="G33" s="287"/>
      <c r="H33" s="287"/>
      <c r="I33" s="288"/>
      <c r="J33" s="288"/>
      <c r="K33" s="289">
        <v>0.624999999999999</v>
      </c>
      <c r="L33" s="289"/>
      <c r="M33" s="287"/>
      <c r="N33" s="287"/>
      <c r="O33" s="287"/>
    </row>
    <row r="34" spans="4:15">
      <c r="D34" s="287"/>
      <c r="E34" s="287"/>
      <c r="F34" s="287"/>
      <c r="G34" s="287"/>
      <c r="H34" s="287"/>
      <c r="I34" s="288"/>
      <c r="J34" s="288"/>
      <c r="K34" s="289">
        <v>0.63541666666666596</v>
      </c>
      <c r="L34" s="289"/>
      <c r="M34" s="287"/>
      <c r="N34" s="287"/>
      <c r="O34" s="287"/>
    </row>
    <row r="35" spans="4:15">
      <c r="D35" s="287"/>
      <c r="E35" s="287"/>
      <c r="F35" s="287"/>
      <c r="G35" s="287"/>
      <c r="H35" s="287"/>
      <c r="I35" s="288"/>
      <c r="J35" s="288"/>
      <c r="K35" s="289">
        <v>0.64583333333333304</v>
      </c>
      <c r="L35" s="289"/>
      <c r="M35" s="287"/>
      <c r="N35" s="287"/>
      <c r="O35" s="287"/>
    </row>
    <row r="36" spans="4:15">
      <c r="D36" s="287"/>
      <c r="E36" s="287"/>
      <c r="F36" s="287"/>
      <c r="G36" s="287"/>
      <c r="H36" s="287"/>
      <c r="I36" s="288"/>
      <c r="J36" s="288"/>
      <c r="K36" s="289">
        <v>0.656249999999999</v>
      </c>
      <c r="L36" s="289"/>
      <c r="M36" s="287"/>
      <c r="N36" s="287"/>
      <c r="O36" s="287"/>
    </row>
    <row r="37" spans="4:15">
      <c r="D37" s="287"/>
      <c r="E37" s="287"/>
      <c r="F37" s="287"/>
      <c r="G37" s="287"/>
      <c r="H37" s="287"/>
      <c r="I37" s="288"/>
      <c r="J37" s="288"/>
      <c r="K37" s="289">
        <v>0.66666666666666596</v>
      </c>
      <c r="L37" s="289"/>
      <c r="M37" s="287"/>
      <c r="N37" s="287"/>
      <c r="O37" s="287"/>
    </row>
    <row r="38" spans="4:15">
      <c r="D38" s="287"/>
      <c r="E38" s="287"/>
      <c r="F38" s="287"/>
      <c r="G38" s="287"/>
      <c r="H38" s="287"/>
      <c r="I38" s="288"/>
      <c r="J38" s="288"/>
      <c r="K38" s="289">
        <v>0.67708333333333304</v>
      </c>
      <c r="L38" s="289"/>
      <c r="M38" s="287"/>
      <c r="N38" s="287"/>
      <c r="O38" s="287"/>
    </row>
    <row r="39" spans="4:15">
      <c r="D39" s="287"/>
      <c r="E39" s="287"/>
      <c r="F39" s="287"/>
      <c r="G39" s="287"/>
      <c r="H39" s="287"/>
      <c r="I39" s="288"/>
      <c r="J39" s="288"/>
      <c r="K39" s="289">
        <v>0.687499999999999</v>
      </c>
      <c r="L39" s="289"/>
      <c r="M39" s="287"/>
      <c r="N39" s="287"/>
      <c r="O39" s="287"/>
    </row>
    <row r="40" spans="4:15">
      <c r="D40" s="287"/>
      <c r="E40" s="287"/>
      <c r="F40" s="287"/>
      <c r="G40" s="287"/>
      <c r="H40" s="287"/>
      <c r="I40" s="288"/>
      <c r="J40" s="288"/>
      <c r="K40" s="289">
        <v>0.69791666666666596</v>
      </c>
      <c r="L40" s="289"/>
      <c r="M40" s="287"/>
      <c r="N40" s="287"/>
      <c r="O40" s="287"/>
    </row>
    <row r="41" spans="4:15">
      <c r="D41" s="287"/>
      <c r="E41" s="287"/>
      <c r="F41" s="287"/>
      <c r="G41" s="287"/>
      <c r="H41" s="287"/>
      <c r="I41" s="288"/>
      <c r="J41" s="288"/>
      <c r="K41" s="289">
        <v>0.70833333333333304</v>
      </c>
      <c r="L41" s="289"/>
      <c r="M41" s="287"/>
      <c r="N41" s="287"/>
      <c r="O41" s="287"/>
    </row>
    <row r="42" spans="4:15">
      <c r="D42" s="287"/>
      <c r="E42" s="287"/>
      <c r="F42" s="287"/>
      <c r="G42" s="287"/>
      <c r="H42" s="287"/>
      <c r="I42" s="288"/>
      <c r="J42" s="288"/>
      <c r="K42" s="289">
        <v>0.718749999999999</v>
      </c>
      <c r="L42" s="289"/>
      <c r="M42" s="287"/>
      <c r="N42" s="287"/>
      <c r="O42" s="287"/>
    </row>
    <row r="43" spans="4:15">
      <c r="D43" s="287"/>
      <c r="E43" s="287"/>
      <c r="F43" s="287"/>
      <c r="G43" s="287"/>
      <c r="H43" s="287"/>
      <c r="I43" s="288"/>
      <c r="J43" s="288"/>
      <c r="K43" s="289">
        <v>0.72916666666666596</v>
      </c>
      <c r="L43" s="289"/>
      <c r="M43" s="287"/>
      <c r="N43" s="287"/>
      <c r="O43" s="287"/>
    </row>
    <row r="44" spans="4:15">
      <c r="D44" s="287"/>
      <c r="E44" s="287"/>
      <c r="F44" s="287"/>
      <c r="G44" s="287"/>
      <c r="H44" s="287"/>
      <c r="I44" s="288"/>
      <c r="J44" s="288"/>
      <c r="K44" s="289">
        <v>0.73958333333333304</v>
      </c>
      <c r="L44" s="289"/>
      <c r="M44" s="287"/>
      <c r="N44" s="287"/>
      <c r="O44" s="287"/>
    </row>
    <row r="45" spans="4:15">
      <c r="D45" s="287"/>
      <c r="E45" s="287"/>
      <c r="F45" s="287"/>
      <c r="G45" s="287"/>
      <c r="H45" s="287"/>
      <c r="I45" s="288"/>
      <c r="J45" s="288"/>
      <c r="K45" s="289">
        <v>0.749999999999999</v>
      </c>
      <c r="L45" s="289"/>
      <c r="M45" s="287"/>
      <c r="N45" s="287"/>
      <c r="O45" s="287"/>
    </row>
    <row r="46" spans="4:15">
      <c r="D46" s="287"/>
      <c r="E46" s="287"/>
      <c r="F46" s="287"/>
      <c r="G46" s="287"/>
      <c r="H46" s="287"/>
      <c r="I46" s="288"/>
      <c r="J46" s="288"/>
      <c r="K46" s="289">
        <v>0.76041666666666596</v>
      </c>
      <c r="L46" s="289"/>
      <c r="M46" s="287"/>
      <c r="N46" s="287"/>
      <c r="O46" s="287"/>
    </row>
    <row r="47" spans="4:15">
      <c r="D47" s="287"/>
      <c r="E47" s="287"/>
      <c r="F47" s="287"/>
      <c r="G47" s="287"/>
      <c r="H47" s="287"/>
      <c r="I47" s="288"/>
      <c r="J47" s="288"/>
      <c r="K47" s="289">
        <v>0.77083333333333304</v>
      </c>
      <c r="L47" s="289"/>
      <c r="M47" s="287"/>
      <c r="N47" s="287"/>
      <c r="O47" s="287"/>
    </row>
    <row r="48" spans="4:15">
      <c r="D48" s="287"/>
      <c r="E48" s="287"/>
      <c r="F48" s="287"/>
      <c r="G48" s="287"/>
      <c r="H48" s="287"/>
      <c r="I48" s="288"/>
      <c r="J48" s="288"/>
      <c r="K48" s="289">
        <v>0.781249999999999</v>
      </c>
      <c r="L48" s="289"/>
      <c r="M48" s="287"/>
      <c r="N48" s="287"/>
      <c r="O48" s="287"/>
    </row>
    <row r="49" spans="4:15">
      <c r="D49" s="287"/>
      <c r="E49" s="287"/>
      <c r="F49" s="287"/>
      <c r="G49" s="287"/>
      <c r="H49" s="287"/>
      <c r="I49" s="288"/>
      <c r="J49" s="288"/>
      <c r="K49" s="289">
        <v>0.79166666666666596</v>
      </c>
      <c r="L49" s="289"/>
      <c r="M49" s="287"/>
      <c r="N49" s="287"/>
      <c r="O49" s="287"/>
    </row>
    <row r="50" spans="4:15">
      <c r="D50" s="287"/>
      <c r="E50" s="287"/>
      <c r="F50" s="287"/>
      <c r="G50" s="287"/>
      <c r="H50" s="287"/>
      <c r="I50" s="288"/>
      <c r="J50" s="288"/>
      <c r="K50" s="289">
        <v>0.80208333333333304</v>
      </c>
      <c r="L50" s="289"/>
      <c r="M50" s="287"/>
      <c r="N50" s="287"/>
      <c r="O50" s="287"/>
    </row>
    <row r="51" spans="4:15">
      <c r="D51" s="287"/>
      <c r="E51" s="287"/>
      <c r="F51" s="287"/>
      <c r="G51" s="287"/>
      <c r="H51" s="287"/>
      <c r="I51" s="288"/>
      <c r="J51" s="288"/>
      <c r="K51" s="289">
        <v>0.812499999999999</v>
      </c>
      <c r="L51" s="289"/>
      <c r="M51" s="287"/>
      <c r="N51" s="287"/>
      <c r="O51" s="287"/>
    </row>
    <row r="52" spans="4:15">
      <c r="D52" s="287"/>
      <c r="E52" s="287"/>
      <c r="F52" s="287"/>
      <c r="G52" s="287"/>
      <c r="H52" s="287"/>
      <c r="I52" s="288"/>
      <c r="J52" s="288"/>
      <c r="K52" s="289">
        <v>0.82291666666666596</v>
      </c>
      <c r="L52" s="289"/>
      <c r="M52" s="287"/>
      <c r="N52" s="287"/>
      <c r="O52" s="287"/>
    </row>
    <row r="53" spans="4:15">
      <c r="D53" s="287"/>
      <c r="E53" s="287"/>
      <c r="F53" s="287"/>
      <c r="G53" s="287"/>
      <c r="H53" s="287"/>
      <c r="I53" s="288"/>
      <c r="J53" s="288"/>
      <c r="K53" s="289">
        <v>0.83333333333333204</v>
      </c>
      <c r="L53" s="289"/>
      <c r="M53" s="287"/>
      <c r="N53" s="287"/>
      <c r="O53" s="287"/>
    </row>
    <row r="54" spans="4:15">
      <c r="D54" s="287"/>
      <c r="E54" s="287"/>
      <c r="F54" s="287"/>
      <c r="G54" s="287"/>
      <c r="H54" s="287"/>
      <c r="I54" s="288"/>
      <c r="J54" s="288"/>
      <c r="K54" s="289">
        <v>0.843749999999999</v>
      </c>
      <c r="L54" s="289"/>
      <c r="M54" s="287"/>
      <c r="N54" s="287"/>
      <c r="O54" s="287"/>
    </row>
    <row r="55" spans="4:15">
      <c r="D55" s="287"/>
      <c r="E55" s="287"/>
      <c r="F55" s="287"/>
      <c r="G55" s="287"/>
      <c r="H55" s="287"/>
      <c r="I55" s="288"/>
      <c r="J55" s="288"/>
      <c r="K55" s="289">
        <v>0.85416666666666596</v>
      </c>
      <c r="L55" s="289"/>
      <c r="M55" s="287"/>
      <c r="N55" s="287"/>
      <c r="O55" s="287"/>
    </row>
    <row r="56" spans="4:15">
      <c r="D56" s="287"/>
      <c r="E56" s="287"/>
      <c r="F56" s="287"/>
      <c r="G56" s="287"/>
      <c r="H56" s="287"/>
      <c r="I56" s="288"/>
      <c r="J56" s="288"/>
      <c r="K56" s="289">
        <v>0.86458333333333204</v>
      </c>
      <c r="L56" s="289"/>
      <c r="M56" s="287"/>
      <c r="N56" s="287"/>
      <c r="O56" s="287"/>
    </row>
    <row r="57" spans="4:15">
      <c r="D57" s="287"/>
      <c r="E57" s="287"/>
      <c r="F57" s="287"/>
      <c r="G57" s="287"/>
      <c r="H57" s="287"/>
      <c r="I57" s="288"/>
      <c r="J57" s="288"/>
      <c r="K57" s="289">
        <v>0.874999999999999</v>
      </c>
      <c r="L57" s="289"/>
      <c r="M57" s="287"/>
      <c r="N57" s="287"/>
      <c r="O57" s="287"/>
    </row>
    <row r="58" spans="4:15">
      <c r="D58" s="287"/>
      <c r="E58" s="287"/>
      <c r="F58" s="287"/>
      <c r="G58" s="287"/>
      <c r="H58" s="287"/>
      <c r="I58" s="288"/>
      <c r="J58" s="288"/>
      <c r="K58" s="289">
        <v>0.88541666666666596</v>
      </c>
      <c r="L58" s="289"/>
      <c r="M58" s="287"/>
      <c r="N58" s="287"/>
      <c r="O58" s="287"/>
    </row>
    <row r="59" spans="4:15">
      <c r="D59" s="287"/>
      <c r="E59" s="287"/>
      <c r="F59" s="287"/>
      <c r="G59" s="287"/>
      <c r="H59" s="287"/>
      <c r="I59" s="288"/>
      <c r="J59" s="288"/>
      <c r="K59" s="289">
        <v>0.89583333333333204</v>
      </c>
      <c r="L59" s="289"/>
      <c r="M59" s="287"/>
      <c r="N59" s="287"/>
      <c r="O59" s="287"/>
    </row>
    <row r="60" spans="4:15">
      <c r="D60" s="287"/>
      <c r="E60" s="287"/>
      <c r="F60" s="287"/>
      <c r="G60" s="287"/>
      <c r="H60" s="287"/>
      <c r="I60" s="288"/>
      <c r="J60" s="288"/>
      <c r="K60" s="289">
        <v>0.906249999999999</v>
      </c>
      <c r="L60" s="289"/>
      <c r="M60" s="287"/>
      <c r="N60" s="287"/>
      <c r="O60" s="287"/>
    </row>
    <row r="61" spans="4:15">
      <c r="D61" s="287"/>
      <c r="E61" s="287"/>
      <c r="F61" s="287"/>
      <c r="G61" s="287"/>
      <c r="H61" s="287"/>
      <c r="I61" s="288"/>
      <c r="J61" s="288"/>
      <c r="K61" s="289">
        <v>0.91666666666666596</v>
      </c>
      <c r="L61" s="289"/>
      <c r="M61" s="287"/>
      <c r="N61" s="287"/>
      <c r="O61" s="287"/>
    </row>
  </sheetData>
  <pageMargins left="0.7" right="0.7" top="0.75" bottom="0.75" header="0.3" footer="0.3"/>
  <pageSetup paperSize="9" orientation="portrait" horizontalDpi="0" verticalDpi="0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8" tint="0.39997558519241921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26</v>
      </c>
      <c r="H1" s="179"/>
      <c r="I1" s="157" t="s">
        <v>142</v>
      </c>
      <c r="J1" s="240">
        <f>'FIT 2020 06 22'!J1:K1+1</f>
        <v>44005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3" t="s">
        <v>145</v>
      </c>
      <c r="B6" s="246" t="s">
        <v>146</v>
      </c>
      <c r="C6" s="246"/>
      <c r="D6" s="246"/>
      <c r="E6" s="246"/>
      <c r="F6" s="246"/>
      <c r="G6" s="246"/>
      <c r="H6" s="246"/>
      <c r="I6" s="183" t="s">
        <v>147</v>
      </c>
      <c r="J6" s="183" t="s">
        <v>148</v>
      </c>
      <c r="K6" s="183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 t="s">
        <v>129</v>
      </c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06 22'!K34+K33</f>
        <v>6.749999999999976</v>
      </c>
    </row>
  </sheetData>
  <mergeCells count="34"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</mergeCells>
  <conditionalFormatting sqref="K31:K33">
    <cfRule type="cellIs" dxfId="162" priority="13" operator="notEqual">
      <formula>0</formula>
    </cfRule>
  </conditionalFormatting>
  <conditionalFormatting sqref="A7 A11:A32">
    <cfRule type="cellIs" dxfId="161" priority="11" operator="equal">
      <formula>"INFORMATIQUE"</formula>
    </cfRule>
    <cfRule type="cellIs" dxfId="160" priority="12" operator="equal">
      <formula>"ATELIER"</formula>
    </cfRule>
  </conditionalFormatting>
  <conditionalFormatting sqref="K31">
    <cfRule type="cellIs" dxfId="159" priority="10" operator="notEqual">
      <formula>0</formula>
    </cfRule>
  </conditionalFormatting>
  <conditionalFormatting sqref="K32">
    <cfRule type="cellIs" dxfId="158" priority="9" operator="notEqual">
      <formula>0</formula>
    </cfRule>
  </conditionalFormatting>
  <conditionalFormatting sqref="K34">
    <cfRule type="cellIs" dxfId="157" priority="6" operator="greaterThan">
      <formula>34.2</formula>
    </cfRule>
    <cfRule type="cellIs" dxfId="156" priority="7" operator="lessThanOrEqual">
      <formula>34.2</formula>
    </cfRule>
    <cfRule type="cellIs" dxfId="155" priority="8" operator="notEqual">
      <formula>0</formula>
    </cfRule>
  </conditionalFormatting>
  <conditionalFormatting sqref="A8:A9">
    <cfRule type="cellIs" dxfId="154" priority="4" operator="equal">
      <formula>"INFORMATIQUE"</formula>
    </cfRule>
    <cfRule type="cellIs" dxfId="153" priority="5" operator="equal">
      <formula>"ATELIER"</formula>
    </cfRule>
  </conditionalFormatting>
  <conditionalFormatting sqref="A10">
    <cfRule type="cellIs" dxfId="152" priority="2" operator="equal">
      <formula>"INFORMATIQUE"</formula>
    </cfRule>
    <cfRule type="cellIs" dxfId="151" priority="3" operator="equal">
      <formula>"ATELIER"</formula>
    </cfRule>
  </conditionalFormatting>
  <conditionalFormatting sqref="K7:K30">
    <cfRule type="cellIs" dxfId="150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LISTES!$H$2:$H$5</xm:f>
          </x14:formula1>
          <xm:sqref>A7:A30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  <x14:dataValidation type="list" allowBlank="1">
          <x14:formula1>
            <xm:f>LISTES!$M$2:$M$15</xm:f>
          </x14:formula1>
          <xm:sqref>B7:H30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8" tint="0.39997558519241921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26</v>
      </c>
      <c r="H1" s="179"/>
      <c r="I1" s="157" t="s">
        <v>142</v>
      </c>
      <c r="J1" s="240">
        <f>'FIT 2020 06 23'!J1:K1+1</f>
        <v>44006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3" t="s">
        <v>145</v>
      </c>
      <c r="B6" s="246" t="s">
        <v>146</v>
      </c>
      <c r="C6" s="246"/>
      <c r="D6" s="246"/>
      <c r="E6" s="246"/>
      <c r="F6" s="246"/>
      <c r="G6" s="246"/>
      <c r="H6" s="246"/>
      <c r="I6" s="183" t="s">
        <v>147</v>
      </c>
      <c r="J6" s="183" t="s">
        <v>148</v>
      </c>
      <c r="K6" s="183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 t="s">
        <v>150</v>
      </c>
      <c r="B8" s="236" t="s">
        <v>165</v>
      </c>
      <c r="C8" s="237"/>
      <c r="D8" s="237"/>
      <c r="E8" s="237"/>
      <c r="F8" s="237"/>
      <c r="G8" s="237"/>
      <c r="H8" s="238"/>
      <c r="I8" s="173">
        <v>0.33333333333333298</v>
      </c>
      <c r="J8" s="173">
        <v>0.5229166666666667</v>
      </c>
      <c r="K8" s="162">
        <f t="shared" si="0"/>
        <v>4.5500000000000096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 t="s">
        <v>150</v>
      </c>
      <c r="B10" s="236" t="s">
        <v>167</v>
      </c>
      <c r="C10" s="237"/>
      <c r="D10" s="237"/>
      <c r="E10" s="237"/>
      <c r="F10" s="237"/>
      <c r="G10" s="237"/>
      <c r="H10" s="238"/>
      <c r="I10" s="175">
        <v>0.58333333333333304</v>
      </c>
      <c r="J10" s="175">
        <v>0.749999999999999</v>
      </c>
      <c r="K10" s="163">
        <f t="shared" si="0"/>
        <v>3.9999999999999831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8.5499999999999936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8.5499999999999936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06 23'!K34+K33</f>
        <v>15.299999999999969</v>
      </c>
    </row>
  </sheetData>
  <mergeCells count="34"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</mergeCells>
  <conditionalFormatting sqref="K31:K33">
    <cfRule type="cellIs" dxfId="149" priority="13" operator="notEqual">
      <formula>0</formula>
    </cfRule>
  </conditionalFormatting>
  <conditionalFormatting sqref="A7 A11:A32">
    <cfRule type="cellIs" dxfId="148" priority="11" operator="equal">
      <formula>"INFORMATIQUE"</formula>
    </cfRule>
    <cfRule type="cellIs" dxfId="147" priority="12" operator="equal">
      <formula>"ATELIER"</formula>
    </cfRule>
  </conditionalFormatting>
  <conditionalFormatting sqref="K31">
    <cfRule type="cellIs" dxfId="146" priority="10" operator="notEqual">
      <formula>0</formula>
    </cfRule>
  </conditionalFormatting>
  <conditionalFormatting sqref="K32">
    <cfRule type="cellIs" dxfId="145" priority="9" operator="notEqual">
      <formula>0</formula>
    </cfRule>
  </conditionalFormatting>
  <conditionalFormatting sqref="K34">
    <cfRule type="cellIs" dxfId="144" priority="6" operator="greaterThan">
      <formula>34.2</formula>
    </cfRule>
    <cfRule type="cellIs" dxfId="143" priority="7" operator="lessThanOrEqual">
      <formula>34.2</formula>
    </cfRule>
    <cfRule type="cellIs" dxfId="142" priority="8" operator="notEqual">
      <formula>0</formula>
    </cfRule>
  </conditionalFormatting>
  <conditionalFormatting sqref="A8:A9">
    <cfRule type="cellIs" dxfId="141" priority="4" operator="equal">
      <formula>"INFORMATIQUE"</formula>
    </cfRule>
    <cfRule type="cellIs" dxfId="140" priority="5" operator="equal">
      <formula>"ATELIER"</formula>
    </cfRule>
  </conditionalFormatting>
  <conditionalFormatting sqref="A10">
    <cfRule type="cellIs" dxfId="139" priority="2" operator="equal">
      <formula>"INFORMATIQUE"</formula>
    </cfRule>
    <cfRule type="cellIs" dxfId="138" priority="3" operator="equal">
      <formula>"ATELIER"</formula>
    </cfRule>
  </conditionalFormatting>
  <conditionalFormatting sqref="K7:K30">
    <cfRule type="cellIs" dxfId="137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>
          <x14:formula1>
            <xm:f>LISTES!$K$2:$K$61</xm:f>
          </x14:formula1>
          <xm:sqref>I7:J30</xm:sqref>
        </x14:dataValidation>
        <x14:dataValidation type="list" allowBlank="1">
          <x14:formula1>
            <xm:f>LISTES!$H$2:$H$5</xm:f>
          </x14:formula1>
          <xm:sqref>A7:A30</xm:sqref>
        </x14:dataValidation>
        <x14:dataValidation type="list" allowBlank="1">
          <x14:formula1>
            <xm:f>LISTES!$M$2:$M$15</xm:f>
          </x14:formula1>
          <xm:sqref>B7:H30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8" tint="0.39997558519241921"/>
  </sheetPr>
  <dimension ref="A1:K34"/>
  <sheetViews>
    <sheetView showGridLines="0" topLeftCell="A2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26</v>
      </c>
      <c r="H1" s="179"/>
      <c r="I1" s="157" t="s">
        <v>142</v>
      </c>
      <c r="J1" s="240">
        <f>'FIT 2020 06 24'!J1:K1+1</f>
        <v>44007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3" t="s">
        <v>145</v>
      </c>
      <c r="B6" s="246" t="s">
        <v>146</v>
      </c>
      <c r="C6" s="246"/>
      <c r="D6" s="246"/>
      <c r="E6" s="246"/>
      <c r="F6" s="246"/>
      <c r="G6" s="246"/>
      <c r="H6" s="246"/>
      <c r="I6" s="183" t="s">
        <v>147</v>
      </c>
      <c r="J6" s="183" t="s">
        <v>148</v>
      </c>
      <c r="K6" s="183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06 24'!K34+K33</f>
        <v>15.299999999999969</v>
      </c>
    </row>
  </sheetData>
  <mergeCells count="34"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</mergeCells>
  <conditionalFormatting sqref="K31:K33">
    <cfRule type="cellIs" dxfId="136" priority="13" operator="notEqual">
      <formula>0</formula>
    </cfRule>
  </conditionalFormatting>
  <conditionalFormatting sqref="A7 A11:A32">
    <cfRule type="cellIs" dxfId="135" priority="11" operator="equal">
      <formula>"INFORMATIQUE"</formula>
    </cfRule>
    <cfRule type="cellIs" dxfId="134" priority="12" operator="equal">
      <formula>"ATELIER"</formula>
    </cfRule>
  </conditionalFormatting>
  <conditionalFormatting sqref="K31">
    <cfRule type="cellIs" dxfId="133" priority="10" operator="notEqual">
      <formula>0</formula>
    </cfRule>
  </conditionalFormatting>
  <conditionalFormatting sqref="K32">
    <cfRule type="cellIs" dxfId="132" priority="9" operator="notEqual">
      <formula>0</formula>
    </cfRule>
  </conditionalFormatting>
  <conditionalFormatting sqref="K34">
    <cfRule type="cellIs" dxfId="131" priority="6" operator="greaterThan">
      <formula>34.2</formula>
    </cfRule>
    <cfRule type="cellIs" dxfId="130" priority="7" operator="lessThanOrEqual">
      <formula>34.2</formula>
    </cfRule>
    <cfRule type="cellIs" dxfId="129" priority="8" operator="notEqual">
      <formula>0</formula>
    </cfRule>
  </conditionalFormatting>
  <conditionalFormatting sqref="A8:A9">
    <cfRule type="cellIs" dxfId="128" priority="4" operator="equal">
      <formula>"INFORMATIQUE"</formula>
    </cfRule>
    <cfRule type="cellIs" dxfId="127" priority="5" operator="equal">
      <formula>"ATELIER"</formula>
    </cfRule>
  </conditionalFormatting>
  <conditionalFormatting sqref="A10">
    <cfRule type="cellIs" dxfId="126" priority="2" operator="equal">
      <formula>"INFORMATIQUE"</formula>
    </cfRule>
    <cfRule type="cellIs" dxfId="125" priority="3" operator="equal">
      <formula>"ATELIER"</formula>
    </cfRule>
  </conditionalFormatting>
  <conditionalFormatting sqref="K7:K30">
    <cfRule type="cellIs" dxfId="124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LISTES!$H$2:$H$5</xm:f>
          </x14:formula1>
          <xm:sqref>A7:A30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  <x14:dataValidation type="list" allowBlank="1">
          <x14:formula1>
            <xm:f>LISTES!$M$2:$M$15</xm:f>
          </x14:formula1>
          <xm:sqref>B7:H30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8" tint="0.39997558519241921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26</v>
      </c>
      <c r="H1" s="179"/>
      <c r="I1" s="157" t="s">
        <v>142</v>
      </c>
      <c r="J1" s="240">
        <f>'FIT 2020 06 25'!J1:K1+1</f>
        <v>44008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3" t="s">
        <v>145</v>
      </c>
      <c r="B6" s="246" t="s">
        <v>146</v>
      </c>
      <c r="C6" s="246"/>
      <c r="D6" s="246"/>
      <c r="E6" s="246"/>
      <c r="F6" s="246"/>
      <c r="G6" s="246"/>
      <c r="H6" s="246"/>
      <c r="I6" s="183" t="s">
        <v>147</v>
      </c>
      <c r="J6" s="183" t="s">
        <v>148</v>
      </c>
      <c r="K6" s="183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2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06 25'!K34+K33</f>
        <v>15.299999999999969</v>
      </c>
    </row>
  </sheetData>
  <mergeCells count="34"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</mergeCells>
  <conditionalFormatting sqref="K31:K33">
    <cfRule type="cellIs" dxfId="123" priority="15" operator="notEqual">
      <formula>0</formula>
    </cfRule>
  </conditionalFormatting>
  <conditionalFormatting sqref="A7 A11:A32">
    <cfRule type="cellIs" dxfId="122" priority="13" operator="equal">
      <formula>"INFORMATIQUE"</formula>
    </cfRule>
    <cfRule type="cellIs" dxfId="121" priority="14" operator="equal">
      <formula>"ATELIER"</formula>
    </cfRule>
  </conditionalFormatting>
  <conditionalFormatting sqref="K31">
    <cfRule type="cellIs" dxfId="120" priority="12" operator="notEqual">
      <formula>0</formula>
    </cfRule>
  </conditionalFormatting>
  <conditionalFormatting sqref="K32">
    <cfRule type="cellIs" dxfId="119" priority="11" operator="notEqual">
      <formula>0</formula>
    </cfRule>
  </conditionalFormatting>
  <conditionalFormatting sqref="K34">
    <cfRule type="cellIs" dxfId="118" priority="8" operator="greaterThan">
      <formula>34.2</formula>
    </cfRule>
    <cfRule type="cellIs" dxfId="117" priority="9" operator="lessThanOrEqual">
      <formula>34.2</formula>
    </cfRule>
    <cfRule type="cellIs" dxfId="116" priority="10" operator="notEqual">
      <formula>0</formula>
    </cfRule>
  </conditionalFormatting>
  <conditionalFormatting sqref="A9">
    <cfRule type="cellIs" dxfId="115" priority="6" operator="equal">
      <formula>"INFORMATIQUE"</formula>
    </cfRule>
    <cfRule type="cellIs" dxfId="114" priority="7" operator="equal">
      <formula>"ATELIER"</formula>
    </cfRule>
  </conditionalFormatting>
  <conditionalFormatting sqref="A8">
    <cfRule type="cellIs" dxfId="113" priority="4" operator="equal">
      <formula>"INFORMATIQUE"</formula>
    </cfRule>
    <cfRule type="cellIs" dxfId="112" priority="5" operator="equal">
      <formula>"ATELIER"</formula>
    </cfRule>
  </conditionalFormatting>
  <conditionalFormatting sqref="A10">
    <cfRule type="cellIs" dxfId="111" priority="2" operator="equal">
      <formula>"INFORMATIQUE"</formula>
    </cfRule>
    <cfRule type="cellIs" dxfId="110" priority="3" operator="equal">
      <formula>"ATELIER"</formula>
    </cfRule>
  </conditionalFormatting>
  <conditionalFormatting sqref="K7:K30">
    <cfRule type="cellIs" dxfId="109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>
          <x14:formula1>
            <xm:f>LISTES!$K$2:$K$61</xm:f>
          </x14:formula1>
          <xm:sqref>I7:J30</xm:sqref>
        </x14:dataValidation>
        <x14:dataValidation type="list" allowBlank="1">
          <x14:formula1>
            <xm:f>LISTES!$H$2:$H$5</xm:f>
          </x14:formula1>
          <xm:sqref>A7:A30</xm:sqref>
        </x14:dataValidation>
        <x14:dataValidation type="list" allowBlank="1">
          <x14:formula1>
            <xm:f>LISTES!$M$2:$M$15</xm:f>
          </x14:formula1>
          <xm:sqref>B7:H30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8" tint="0.39997558519241921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26</v>
      </c>
      <c r="H1" s="179"/>
      <c r="I1" s="157" t="s">
        <v>142</v>
      </c>
      <c r="J1" s="240">
        <f>'FIT 2020 06 26'!J1:K1+1</f>
        <v>44009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3" t="s">
        <v>145</v>
      </c>
      <c r="B6" s="246" t="s">
        <v>146</v>
      </c>
      <c r="C6" s="246"/>
      <c r="D6" s="246"/>
      <c r="E6" s="246"/>
      <c r="F6" s="246"/>
      <c r="G6" s="246"/>
      <c r="H6" s="246"/>
      <c r="I6" s="183" t="s">
        <v>147</v>
      </c>
      <c r="J6" s="183" t="s">
        <v>148</v>
      </c>
      <c r="K6" s="183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06 26'!K34+K33</f>
        <v>15.299999999999969</v>
      </c>
    </row>
  </sheetData>
  <mergeCells count="34"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</mergeCells>
  <conditionalFormatting sqref="K31:K33">
    <cfRule type="cellIs" dxfId="108" priority="15" operator="notEqual">
      <formula>0</formula>
    </cfRule>
  </conditionalFormatting>
  <conditionalFormatting sqref="A7 A11:A32">
    <cfRule type="cellIs" dxfId="107" priority="13" operator="equal">
      <formula>"INFORMATIQUE"</formula>
    </cfRule>
    <cfRule type="cellIs" dxfId="106" priority="14" operator="equal">
      <formula>"ATELIER"</formula>
    </cfRule>
  </conditionalFormatting>
  <conditionalFormatting sqref="K31">
    <cfRule type="cellIs" dxfId="105" priority="12" operator="notEqual">
      <formula>0</formula>
    </cfRule>
  </conditionalFormatting>
  <conditionalFormatting sqref="K32">
    <cfRule type="cellIs" dxfId="104" priority="11" operator="notEqual">
      <formula>0</formula>
    </cfRule>
  </conditionalFormatting>
  <conditionalFormatting sqref="K34">
    <cfRule type="cellIs" dxfId="103" priority="8" operator="greaterThan">
      <formula>34.2</formula>
    </cfRule>
    <cfRule type="cellIs" dxfId="102" priority="9" operator="lessThanOrEqual">
      <formula>34.2</formula>
    </cfRule>
    <cfRule type="cellIs" dxfId="101" priority="10" operator="notEqual">
      <formula>0</formula>
    </cfRule>
  </conditionalFormatting>
  <conditionalFormatting sqref="A9">
    <cfRule type="cellIs" dxfId="100" priority="6" operator="equal">
      <formula>"INFORMATIQUE"</formula>
    </cfRule>
    <cfRule type="cellIs" dxfId="99" priority="7" operator="equal">
      <formula>"ATELIER"</formula>
    </cfRule>
  </conditionalFormatting>
  <conditionalFormatting sqref="A10">
    <cfRule type="cellIs" dxfId="98" priority="4" operator="equal">
      <formula>"INFORMATIQUE"</formula>
    </cfRule>
    <cfRule type="cellIs" dxfId="97" priority="5" operator="equal">
      <formula>"ATELIER"</formula>
    </cfRule>
  </conditionalFormatting>
  <conditionalFormatting sqref="A8">
    <cfRule type="cellIs" dxfId="96" priority="2" operator="equal">
      <formula>"INFORMATIQUE"</formula>
    </cfRule>
    <cfRule type="cellIs" dxfId="95" priority="3" operator="equal">
      <formula>"ATELIER"</formula>
    </cfRule>
  </conditionalFormatting>
  <conditionalFormatting sqref="K7:K30">
    <cfRule type="cellIs" dxfId="94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LISTES!$H$2:$H$5</xm:f>
          </x14:formula1>
          <xm:sqref>A7:A30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  <x14:dataValidation type="list" allowBlank="1">
          <x14:formula1>
            <xm:f>LISTES!$M$2:$M$15</xm:f>
          </x14:formula1>
          <xm:sqref>B7:H30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4" tint="-0.249977111117893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27</v>
      </c>
      <c r="H1" s="179"/>
      <c r="I1" s="157" t="s">
        <v>142</v>
      </c>
      <c r="J1" s="240">
        <f>'FIT 2020 06 27'!J1:K1+2</f>
        <v>44011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4" t="s">
        <v>145</v>
      </c>
      <c r="B6" s="246" t="s">
        <v>146</v>
      </c>
      <c r="C6" s="246"/>
      <c r="D6" s="246"/>
      <c r="E6" s="246"/>
      <c r="F6" s="246"/>
      <c r="G6" s="246"/>
      <c r="H6" s="246"/>
      <c r="I6" s="184" t="s">
        <v>147</v>
      </c>
      <c r="J6" s="184" t="s">
        <v>148</v>
      </c>
      <c r="K6" s="184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2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K33</f>
        <v>0</v>
      </c>
    </row>
  </sheetData>
  <mergeCells count="34"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</mergeCells>
  <conditionalFormatting sqref="K31:K33">
    <cfRule type="cellIs" dxfId="93" priority="11" operator="notEqual">
      <formula>0</formula>
    </cfRule>
  </conditionalFormatting>
  <conditionalFormatting sqref="A11:A32 A7:A9">
    <cfRule type="cellIs" dxfId="92" priority="9" operator="equal">
      <formula>"INFORMATIQUE"</formula>
    </cfRule>
    <cfRule type="cellIs" dxfId="91" priority="10" operator="equal">
      <formula>"ATELIER"</formula>
    </cfRule>
  </conditionalFormatting>
  <conditionalFormatting sqref="K31">
    <cfRule type="cellIs" dxfId="90" priority="8" operator="notEqual">
      <formula>0</formula>
    </cfRule>
  </conditionalFormatting>
  <conditionalFormatting sqref="K32">
    <cfRule type="cellIs" dxfId="89" priority="7" operator="notEqual">
      <formula>0</formula>
    </cfRule>
  </conditionalFormatting>
  <conditionalFormatting sqref="K34">
    <cfRule type="cellIs" dxfId="88" priority="4" operator="greaterThan">
      <formula>34.2</formula>
    </cfRule>
    <cfRule type="cellIs" dxfId="87" priority="5" operator="lessThanOrEqual">
      <formula>34.2</formula>
    </cfRule>
    <cfRule type="cellIs" dxfId="86" priority="6" operator="notEqual">
      <formula>0</formula>
    </cfRule>
  </conditionalFormatting>
  <conditionalFormatting sqref="A10">
    <cfRule type="cellIs" dxfId="85" priority="2" operator="equal">
      <formula>"INFORMATIQUE"</formula>
    </cfRule>
    <cfRule type="cellIs" dxfId="84" priority="3" operator="equal">
      <formula>"ATELIER"</formula>
    </cfRule>
  </conditionalFormatting>
  <conditionalFormatting sqref="K7:K30">
    <cfRule type="cellIs" dxfId="83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LISTES!$M$2:$M$15</xm:f>
          </x14:formula1>
          <xm:sqref>B7:H30</xm:sqref>
        </x14:dataValidation>
        <x14:dataValidation type="list" allowBlank="1">
          <x14:formula1>
            <xm:f>LISTES!$H$2:$H$5</xm:f>
          </x14:formula1>
          <xm:sqref>A7:A30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4" tint="-0.249977111117893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27</v>
      </c>
      <c r="H1" s="179"/>
      <c r="I1" s="157" t="s">
        <v>142</v>
      </c>
      <c r="J1" s="240">
        <f>'FIT 2020 06 27'!J1:K1+2</f>
        <v>44011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4" t="s">
        <v>145</v>
      </c>
      <c r="B6" s="246" t="s">
        <v>146</v>
      </c>
      <c r="C6" s="246"/>
      <c r="D6" s="246"/>
      <c r="E6" s="246"/>
      <c r="F6" s="246"/>
      <c r="G6" s="246"/>
      <c r="H6" s="246"/>
      <c r="I6" s="184" t="s">
        <v>147</v>
      </c>
      <c r="J6" s="184" t="s">
        <v>148</v>
      </c>
      <c r="K6" s="184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06 29'!K34+K33</f>
        <v>0</v>
      </c>
    </row>
  </sheetData>
  <mergeCells count="34"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</mergeCells>
  <conditionalFormatting sqref="K31:K33">
    <cfRule type="cellIs" dxfId="82" priority="13" operator="notEqual">
      <formula>0</formula>
    </cfRule>
  </conditionalFormatting>
  <conditionalFormatting sqref="A7 A11:A32">
    <cfRule type="cellIs" dxfId="81" priority="11" operator="equal">
      <formula>"INFORMATIQUE"</formula>
    </cfRule>
    <cfRule type="cellIs" dxfId="80" priority="12" operator="equal">
      <formula>"ATELIER"</formula>
    </cfRule>
  </conditionalFormatting>
  <conditionalFormatting sqref="K31">
    <cfRule type="cellIs" dxfId="79" priority="10" operator="notEqual">
      <formula>0</formula>
    </cfRule>
  </conditionalFormatting>
  <conditionalFormatting sqref="K32">
    <cfRule type="cellIs" dxfId="78" priority="9" operator="notEqual">
      <formula>0</formula>
    </cfRule>
  </conditionalFormatting>
  <conditionalFormatting sqref="K34">
    <cfRule type="cellIs" dxfId="77" priority="6" operator="greaterThan">
      <formula>34.2</formula>
    </cfRule>
    <cfRule type="cellIs" dxfId="76" priority="7" operator="lessThanOrEqual">
      <formula>34.2</formula>
    </cfRule>
    <cfRule type="cellIs" dxfId="75" priority="8" operator="notEqual">
      <formula>0</formula>
    </cfRule>
  </conditionalFormatting>
  <conditionalFormatting sqref="A8:A9">
    <cfRule type="cellIs" dxfId="74" priority="4" operator="equal">
      <formula>"INFORMATIQUE"</formula>
    </cfRule>
    <cfRule type="cellIs" dxfId="73" priority="5" operator="equal">
      <formula>"ATELIER"</formula>
    </cfRule>
  </conditionalFormatting>
  <conditionalFormatting sqref="A10">
    <cfRule type="cellIs" dxfId="72" priority="2" operator="equal">
      <formula>"INFORMATIQUE"</formula>
    </cfRule>
    <cfRule type="cellIs" dxfId="71" priority="3" operator="equal">
      <formula>"ATELIER"</formula>
    </cfRule>
  </conditionalFormatting>
  <conditionalFormatting sqref="K7:K30">
    <cfRule type="cellIs" dxfId="70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LISTES!$M$2:$M$15</xm:f>
          </x14:formula1>
          <xm:sqref>B7:H30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  <x14:dataValidation type="list" allowBlank="1">
          <x14:formula1>
            <xm:f>LISTES!$H$2:$H$5</xm:f>
          </x14:formula1>
          <xm:sqref>A7:A30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theme="4" tint="-0.249977111117893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27</v>
      </c>
      <c r="H1" s="179"/>
      <c r="I1" s="157" t="s">
        <v>142</v>
      </c>
      <c r="J1" s="240">
        <f>'FIT 2020 06 27'!J1:K1+2</f>
        <v>44011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4" t="s">
        <v>145</v>
      </c>
      <c r="B6" s="246" t="s">
        <v>146</v>
      </c>
      <c r="C6" s="246"/>
      <c r="D6" s="246"/>
      <c r="E6" s="246"/>
      <c r="F6" s="246"/>
      <c r="G6" s="246"/>
      <c r="H6" s="246"/>
      <c r="I6" s="184" t="s">
        <v>147</v>
      </c>
      <c r="J6" s="184" t="s">
        <v>148</v>
      </c>
      <c r="K6" s="184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06 30'!K34+K33</f>
        <v>0</v>
      </c>
    </row>
  </sheetData>
  <mergeCells count="34"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</mergeCells>
  <conditionalFormatting sqref="K31:K33">
    <cfRule type="cellIs" dxfId="69" priority="13" operator="notEqual">
      <formula>0</formula>
    </cfRule>
  </conditionalFormatting>
  <conditionalFormatting sqref="A7 A11:A32">
    <cfRule type="cellIs" dxfId="68" priority="11" operator="equal">
      <formula>"INFORMATIQUE"</formula>
    </cfRule>
    <cfRule type="cellIs" dxfId="67" priority="12" operator="equal">
      <formula>"ATELIER"</formula>
    </cfRule>
  </conditionalFormatting>
  <conditionalFormatting sqref="K31">
    <cfRule type="cellIs" dxfId="66" priority="10" operator="notEqual">
      <formula>0</formula>
    </cfRule>
  </conditionalFormatting>
  <conditionalFormatting sqref="K32">
    <cfRule type="cellIs" dxfId="65" priority="9" operator="notEqual">
      <formula>0</formula>
    </cfRule>
  </conditionalFormatting>
  <conditionalFormatting sqref="K34">
    <cfRule type="cellIs" dxfId="64" priority="6" operator="greaterThan">
      <formula>34.2</formula>
    </cfRule>
    <cfRule type="cellIs" dxfId="63" priority="7" operator="lessThanOrEqual">
      <formula>34.2</formula>
    </cfRule>
    <cfRule type="cellIs" dxfId="62" priority="8" operator="notEqual">
      <formula>0</formula>
    </cfRule>
  </conditionalFormatting>
  <conditionalFormatting sqref="A8:A9">
    <cfRule type="cellIs" dxfId="61" priority="4" operator="equal">
      <formula>"INFORMATIQUE"</formula>
    </cfRule>
    <cfRule type="cellIs" dxfId="60" priority="5" operator="equal">
      <formula>"ATELIER"</formula>
    </cfRule>
  </conditionalFormatting>
  <conditionalFormatting sqref="A10">
    <cfRule type="cellIs" dxfId="59" priority="2" operator="equal">
      <formula>"INFORMATIQUE"</formula>
    </cfRule>
    <cfRule type="cellIs" dxfId="58" priority="3" operator="equal">
      <formula>"ATELIER"</formula>
    </cfRule>
  </conditionalFormatting>
  <conditionalFormatting sqref="K7:K30">
    <cfRule type="cellIs" dxfId="57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LISTES!$M$2:$M$15</xm:f>
          </x14:formula1>
          <xm:sqref>B7:H30</xm:sqref>
        </x14:dataValidation>
        <x14:dataValidation type="list" allowBlank="1">
          <x14:formula1>
            <xm:f>LISTES!$H$2:$H$5</xm:f>
          </x14:formula1>
          <xm:sqref>A7:A30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 tint="-0.249977111117893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27</v>
      </c>
      <c r="H1" s="179"/>
      <c r="I1" s="157" t="s">
        <v>142</v>
      </c>
      <c r="J1" s="240">
        <f>'FIT 2020 06 27'!J1:K1+2</f>
        <v>44011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4" t="s">
        <v>145</v>
      </c>
      <c r="B6" s="246" t="s">
        <v>146</v>
      </c>
      <c r="C6" s="246"/>
      <c r="D6" s="246"/>
      <c r="E6" s="246"/>
      <c r="F6" s="246"/>
      <c r="G6" s="246"/>
      <c r="H6" s="246"/>
      <c r="I6" s="184" t="s">
        <v>147</v>
      </c>
      <c r="J6" s="184" t="s">
        <v>148</v>
      </c>
      <c r="K6" s="184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07 01'!K34+K33</f>
        <v>0</v>
      </c>
    </row>
  </sheetData>
  <mergeCells count="34"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</mergeCells>
  <conditionalFormatting sqref="K31:K33">
    <cfRule type="cellIs" dxfId="56" priority="13" operator="notEqual">
      <formula>0</formula>
    </cfRule>
  </conditionalFormatting>
  <conditionalFormatting sqref="A7 A11:A32">
    <cfRule type="cellIs" dxfId="55" priority="11" operator="equal">
      <formula>"INFORMATIQUE"</formula>
    </cfRule>
    <cfRule type="cellIs" dxfId="54" priority="12" operator="equal">
      <formula>"ATELIER"</formula>
    </cfRule>
  </conditionalFormatting>
  <conditionalFormatting sqref="K31">
    <cfRule type="cellIs" dxfId="53" priority="10" operator="notEqual">
      <formula>0</formula>
    </cfRule>
  </conditionalFormatting>
  <conditionalFormatting sqref="K32">
    <cfRule type="cellIs" dxfId="52" priority="9" operator="notEqual">
      <formula>0</formula>
    </cfRule>
  </conditionalFormatting>
  <conditionalFormatting sqref="K34">
    <cfRule type="cellIs" dxfId="51" priority="6" operator="greaterThan">
      <formula>34.2</formula>
    </cfRule>
    <cfRule type="cellIs" dxfId="50" priority="7" operator="lessThanOrEqual">
      <formula>34.2</formula>
    </cfRule>
    <cfRule type="cellIs" dxfId="49" priority="8" operator="notEqual">
      <formula>0</formula>
    </cfRule>
  </conditionalFormatting>
  <conditionalFormatting sqref="A8:A9">
    <cfRule type="cellIs" dxfId="48" priority="4" operator="equal">
      <formula>"INFORMATIQUE"</formula>
    </cfRule>
    <cfRule type="cellIs" dxfId="47" priority="5" operator="equal">
      <formula>"ATELIER"</formula>
    </cfRule>
  </conditionalFormatting>
  <conditionalFormatting sqref="A10">
    <cfRule type="cellIs" dxfId="46" priority="2" operator="equal">
      <formula>"INFORMATIQUE"</formula>
    </cfRule>
    <cfRule type="cellIs" dxfId="45" priority="3" operator="equal">
      <formula>"ATELIER"</formula>
    </cfRule>
  </conditionalFormatting>
  <conditionalFormatting sqref="K7:K30">
    <cfRule type="cellIs" dxfId="44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LISTES!$M$2:$M$15</xm:f>
          </x14:formula1>
          <xm:sqref>B7:H30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  <x14:dataValidation type="list" allowBlank="1">
          <x14:formula1>
            <xm:f>LISTES!$H$2:$H$5</xm:f>
          </x14:formula1>
          <xm:sqref>A7:A30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theme="4" tint="-0.249977111117893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27</v>
      </c>
      <c r="H1" s="179"/>
      <c r="I1" s="157" t="s">
        <v>142</v>
      </c>
      <c r="J1" s="240">
        <f>'FIT 2020 06 27'!J1:K1+2</f>
        <v>44011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4" t="s">
        <v>145</v>
      </c>
      <c r="B6" s="246" t="s">
        <v>146</v>
      </c>
      <c r="C6" s="246"/>
      <c r="D6" s="246"/>
      <c r="E6" s="246"/>
      <c r="F6" s="246"/>
      <c r="G6" s="246"/>
      <c r="H6" s="246"/>
      <c r="I6" s="184" t="s">
        <v>147</v>
      </c>
      <c r="J6" s="184" t="s">
        <v>148</v>
      </c>
      <c r="K6" s="184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2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07 02'!K34+K33</f>
        <v>0</v>
      </c>
    </row>
  </sheetData>
  <mergeCells count="34"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</mergeCells>
  <conditionalFormatting sqref="K31:K33">
    <cfRule type="cellIs" dxfId="43" priority="15" operator="notEqual">
      <formula>0</formula>
    </cfRule>
  </conditionalFormatting>
  <conditionalFormatting sqref="A7 A11:A32">
    <cfRule type="cellIs" dxfId="42" priority="13" operator="equal">
      <formula>"INFORMATIQUE"</formula>
    </cfRule>
    <cfRule type="cellIs" dxfId="41" priority="14" operator="equal">
      <formula>"ATELIER"</formula>
    </cfRule>
  </conditionalFormatting>
  <conditionalFormatting sqref="K31">
    <cfRule type="cellIs" dxfId="40" priority="12" operator="notEqual">
      <formula>0</formula>
    </cfRule>
  </conditionalFormatting>
  <conditionalFormatting sqref="K32">
    <cfRule type="cellIs" dxfId="39" priority="11" operator="notEqual">
      <formula>0</formula>
    </cfRule>
  </conditionalFormatting>
  <conditionalFormatting sqref="K34">
    <cfRule type="cellIs" dxfId="38" priority="8" operator="greaterThan">
      <formula>34.2</formula>
    </cfRule>
    <cfRule type="cellIs" dxfId="37" priority="9" operator="lessThanOrEqual">
      <formula>34.2</formula>
    </cfRule>
    <cfRule type="cellIs" dxfId="36" priority="10" operator="notEqual">
      <formula>0</formula>
    </cfRule>
  </conditionalFormatting>
  <conditionalFormatting sqref="A9">
    <cfRule type="cellIs" dxfId="35" priority="6" operator="equal">
      <formula>"INFORMATIQUE"</formula>
    </cfRule>
    <cfRule type="cellIs" dxfId="34" priority="7" operator="equal">
      <formula>"ATELIER"</formula>
    </cfRule>
  </conditionalFormatting>
  <conditionalFormatting sqref="A8">
    <cfRule type="cellIs" dxfId="33" priority="4" operator="equal">
      <formula>"INFORMATIQUE"</formula>
    </cfRule>
    <cfRule type="cellIs" dxfId="32" priority="5" operator="equal">
      <formula>"ATELIER"</formula>
    </cfRule>
  </conditionalFormatting>
  <conditionalFormatting sqref="A10">
    <cfRule type="cellIs" dxfId="31" priority="2" operator="equal">
      <formula>"INFORMATIQUE"</formula>
    </cfRule>
    <cfRule type="cellIs" dxfId="30" priority="3" operator="equal">
      <formula>"ATELIER"</formula>
    </cfRule>
  </conditionalFormatting>
  <conditionalFormatting sqref="K7:K30">
    <cfRule type="cellIs" dxfId="29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LISTES!$M$2:$M$15</xm:f>
          </x14:formula1>
          <xm:sqref>B7:H30</xm:sqref>
        </x14:dataValidation>
        <x14:dataValidation type="list" allowBlank="1">
          <x14:formula1>
            <xm:f>LISTES!$H$2:$H$5</xm:f>
          </x14:formula1>
          <xm:sqref>A7:A30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4" tint="-0.249977111117893"/>
  </sheetPr>
  <dimension ref="A1:K34"/>
  <sheetViews>
    <sheetView showGridLines="0" workbookViewId="0">
      <selection activeCell="J1" sqref="J1:K1"/>
    </sheetView>
  </sheetViews>
  <sheetFormatPr baseColWidth="10" defaultColWidth="11.42578125" defaultRowHeight="14.25"/>
  <cols>
    <col min="1" max="1" width="15.85546875" style="158" bestFit="1" customWidth="1"/>
    <col min="2" max="8" width="10.42578125" style="158" customWidth="1"/>
    <col min="9" max="10" width="12.28515625" style="158" customWidth="1"/>
    <col min="11" max="11" width="17.28515625" style="158" bestFit="1" customWidth="1"/>
    <col min="12" max="16384" width="11.42578125" style="158"/>
  </cols>
  <sheetData>
    <row r="1" spans="1:11" ht="15" thickBot="1">
      <c r="A1" s="239" t="s">
        <v>141</v>
      </c>
      <c r="B1" s="239"/>
      <c r="C1" s="239"/>
      <c r="D1" s="239"/>
      <c r="E1" s="180"/>
      <c r="F1" s="181" t="s">
        <v>161</v>
      </c>
      <c r="G1" s="182">
        <f>WEEKNUM(J1)</f>
        <v>27</v>
      </c>
      <c r="H1" s="179"/>
      <c r="I1" s="157" t="s">
        <v>142</v>
      </c>
      <c r="J1" s="240">
        <f>'FIT 2020 06 27'!J1:K1+2</f>
        <v>44011</v>
      </c>
      <c r="K1" s="241"/>
    </row>
    <row r="2" spans="1:11" ht="15" customHeight="1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thickBot="1">
      <c r="A4" s="159" t="s">
        <v>143</v>
      </c>
      <c r="B4" s="244" t="s">
        <v>144</v>
      </c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" thickBot="1"/>
    <row r="6" spans="1:11" s="160" customFormat="1" ht="13.5" thickBot="1">
      <c r="A6" s="184" t="s">
        <v>145</v>
      </c>
      <c r="B6" s="246" t="s">
        <v>146</v>
      </c>
      <c r="C6" s="246"/>
      <c r="D6" s="246"/>
      <c r="E6" s="246"/>
      <c r="F6" s="246"/>
      <c r="G6" s="246"/>
      <c r="H6" s="246"/>
      <c r="I6" s="184" t="s">
        <v>147</v>
      </c>
      <c r="J6" s="184" t="s">
        <v>148</v>
      </c>
      <c r="K6" s="184" t="s">
        <v>149</v>
      </c>
    </row>
    <row r="7" spans="1:11">
      <c r="A7" s="170"/>
      <c r="B7" s="247"/>
      <c r="C7" s="248"/>
      <c r="D7" s="248"/>
      <c r="E7" s="248"/>
      <c r="F7" s="248"/>
      <c r="G7" s="248"/>
      <c r="H7" s="249"/>
      <c r="I7" s="171"/>
      <c r="J7" s="171"/>
      <c r="K7" s="161">
        <f t="shared" ref="K7:K30" si="0">(J7-I7)*24</f>
        <v>0</v>
      </c>
    </row>
    <row r="8" spans="1:11">
      <c r="A8" s="172"/>
      <c r="B8" s="236"/>
      <c r="C8" s="237"/>
      <c r="D8" s="237"/>
      <c r="E8" s="237"/>
      <c r="F8" s="237"/>
      <c r="G8" s="237"/>
      <c r="H8" s="238"/>
      <c r="I8" s="173"/>
      <c r="J8" s="173"/>
      <c r="K8" s="162">
        <f t="shared" si="0"/>
        <v>0</v>
      </c>
    </row>
    <row r="9" spans="1:11">
      <c r="A9" s="174"/>
      <c r="B9" s="236"/>
      <c r="C9" s="237"/>
      <c r="D9" s="237"/>
      <c r="E9" s="237"/>
      <c r="F9" s="237"/>
      <c r="G9" s="237"/>
      <c r="H9" s="238"/>
      <c r="I9" s="175"/>
      <c r="J9" s="175"/>
      <c r="K9" s="163">
        <f t="shared" si="0"/>
        <v>0</v>
      </c>
    </row>
    <row r="10" spans="1:11">
      <c r="A10" s="174"/>
      <c r="B10" s="236"/>
      <c r="C10" s="237"/>
      <c r="D10" s="237"/>
      <c r="E10" s="237"/>
      <c r="F10" s="237"/>
      <c r="G10" s="237"/>
      <c r="H10" s="238"/>
      <c r="I10" s="175"/>
      <c r="J10" s="175"/>
      <c r="K10" s="163">
        <f t="shared" si="0"/>
        <v>0</v>
      </c>
    </row>
    <row r="11" spans="1:11">
      <c r="A11" s="176"/>
      <c r="B11" s="236"/>
      <c r="C11" s="237"/>
      <c r="D11" s="237"/>
      <c r="E11" s="237"/>
      <c r="F11" s="237"/>
      <c r="G11" s="237"/>
      <c r="H11" s="238"/>
      <c r="I11" s="175"/>
      <c r="J11" s="175"/>
      <c r="K11" s="163">
        <f t="shared" si="0"/>
        <v>0</v>
      </c>
    </row>
    <row r="12" spans="1:11">
      <c r="A12" s="174"/>
      <c r="B12" s="236"/>
      <c r="C12" s="237"/>
      <c r="D12" s="237"/>
      <c r="E12" s="237"/>
      <c r="F12" s="237"/>
      <c r="G12" s="237"/>
      <c r="H12" s="238"/>
      <c r="I12" s="175"/>
      <c r="J12" s="175"/>
      <c r="K12" s="163">
        <f t="shared" si="0"/>
        <v>0</v>
      </c>
    </row>
    <row r="13" spans="1:11">
      <c r="A13" s="174"/>
      <c r="B13" s="236"/>
      <c r="C13" s="237"/>
      <c r="D13" s="237"/>
      <c r="E13" s="237"/>
      <c r="F13" s="237"/>
      <c r="G13" s="237"/>
      <c r="H13" s="238"/>
      <c r="I13" s="175"/>
      <c r="J13" s="175"/>
      <c r="K13" s="163">
        <f t="shared" si="0"/>
        <v>0</v>
      </c>
    </row>
    <row r="14" spans="1:11">
      <c r="A14" s="174"/>
      <c r="B14" s="236"/>
      <c r="C14" s="237"/>
      <c r="D14" s="237"/>
      <c r="E14" s="237"/>
      <c r="F14" s="237"/>
      <c r="G14" s="237"/>
      <c r="H14" s="238"/>
      <c r="I14" s="175"/>
      <c r="J14" s="175"/>
      <c r="K14" s="163">
        <f t="shared" si="0"/>
        <v>0</v>
      </c>
    </row>
    <row r="15" spans="1:11">
      <c r="A15" s="174"/>
      <c r="B15" s="236"/>
      <c r="C15" s="237"/>
      <c r="D15" s="237"/>
      <c r="E15" s="237"/>
      <c r="F15" s="237"/>
      <c r="G15" s="237"/>
      <c r="H15" s="238"/>
      <c r="I15" s="175"/>
      <c r="J15" s="175"/>
      <c r="K15" s="163">
        <f t="shared" si="0"/>
        <v>0</v>
      </c>
    </row>
    <row r="16" spans="1:11">
      <c r="A16" s="174"/>
      <c r="B16" s="236"/>
      <c r="C16" s="237"/>
      <c r="D16" s="237"/>
      <c r="E16" s="237"/>
      <c r="F16" s="237"/>
      <c r="G16" s="237"/>
      <c r="H16" s="238"/>
      <c r="I16" s="175"/>
      <c r="J16" s="175"/>
      <c r="K16" s="163">
        <f t="shared" si="0"/>
        <v>0</v>
      </c>
    </row>
    <row r="17" spans="1:11">
      <c r="A17" s="174"/>
      <c r="B17" s="236"/>
      <c r="C17" s="237"/>
      <c r="D17" s="237"/>
      <c r="E17" s="237"/>
      <c r="F17" s="237"/>
      <c r="G17" s="237"/>
      <c r="H17" s="238"/>
      <c r="I17" s="175"/>
      <c r="J17" s="175"/>
      <c r="K17" s="163">
        <f t="shared" si="0"/>
        <v>0</v>
      </c>
    </row>
    <row r="18" spans="1:11">
      <c r="A18" s="174"/>
      <c r="B18" s="236"/>
      <c r="C18" s="237"/>
      <c r="D18" s="237"/>
      <c r="E18" s="237"/>
      <c r="F18" s="237"/>
      <c r="G18" s="237"/>
      <c r="H18" s="238"/>
      <c r="I18" s="175"/>
      <c r="J18" s="175"/>
      <c r="K18" s="163">
        <f t="shared" si="0"/>
        <v>0</v>
      </c>
    </row>
    <row r="19" spans="1:11">
      <c r="A19" s="174"/>
      <c r="B19" s="236"/>
      <c r="C19" s="237"/>
      <c r="D19" s="237"/>
      <c r="E19" s="237"/>
      <c r="F19" s="237"/>
      <c r="G19" s="237"/>
      <c r="H19" s="238"/>
      <c r="I19" s="175"/>
      <c r="J19" s="175"/>
      <c r="K19" s="163">
        <f t="shared" si="0"/>
        <v>0</v>
      </c>
    </row>
    <row r="20" spans="1:11">
      <c r="A20" s="174"/>
      <c r="B20" s="236"/>
      <c r="C20" s="237"/>
      <c r="D20" s="237"/>
      <c r="E20" s="237"/>
      <c r="F20" s="237"/>
      <c r="G20" s="237"/>
      <c r="H20" s="238"/>
      <c r="I20" s="175"/>
      <c r="J20" s="175"/>
      <c r="K20" s="163">
        <f t="shared" si="0"/>
        <v>0</v>
      </c>
    </row>
    <row r="21" spans="1:11">
      <c r="A21" s="174"/>
      <c r="B21" s="236"/>
      <c r="C21" s="237"/>
      <c r="D21" s="237"/>
      <c r="E21" s="237"/>
      <c r="F21" s="237"/>
      <c r="G21" s="237"/>
      <c r="H21" s="238"/>
      <c r="I21" s="175"/>
      <c r="J21" s="175"/>
      <c r="K21" s="163">
        <f t="shared" si="0"/>
        <v>0</v>
      </c>
    </row>
    <row r="22" spans="1:11">
      <c r="A22" s="174"/>
      <c r="B22" s="236"/>
      <c r="C22" s="237"/>
      <c r="D22" s="237"/>
      <c r="E22" s="237"/>
      <c r="F22" s="237"/>
      <c r="G22" s="237"/>
      <c r="H22" s="238"/>
      <c r="I22" s="175"/>
      <c r="J22" s="175"/>
      <c r="K22" s="163">
        <f t="shared" si="0"/>
        <v>0</v>
      </c>
    </row>
    <row r="23" spans="1:11">
      <c r="A23" s="174"/>
      <c r="B23" s="236"/>
      <c r="C23" s="237"/>
      <c r="D23" s="237"/>
      <c r="E23" s="237"/>
      <c r="F23" s="237"/>
      <c r="G23" s="237"/>
      <c r="H23" s="238"/>
      <c r="I23" s="175"/>
      <c r="J23" s="175"/>
      <c r="K23" s="163">
        <f t="shared" si="0"/>
        <v>0</v>
      </c>
    </row>
    <row r="24" spans="1:11">
      <c r="A24" s="174"/>
      <c r="B24" s="236"/>
      <c r="C24" s="237"/>
      <c r="D24" s="237"/>
      <c r="E24" s="237"/>
      <c r="F24" s="237"/>
      <c r="G24" s="237"/>
      <c r="H24" s="238"/>
      <c r="I24" s="175"/>
      <c r="J24" s="175"/>
      <c r="K24" s="163">
        <f t="shared" si="0"/>
        <v>0</v>
      </c>
    </row>
    <row r="25" spans="1:11">
      <c r="A25" s="174"/>
      <c r="B25" s="236"/>
      <c r="C25" s="237"/>
      <c r="D25" s="237"/>
      <c r="E25" s="237"/>
      <c r="F25" s="237"/>
      <c r="G25" s="237"/>
      <c r="H25" s="238"/>
      <c r="I25" s="175"/>
      <c r="J25" s="175"/>
      <c r="K25" s="163">
        <f t="shared" si="0"/>
        <v>0</v>
      </c>
    </row>
    <row r="26" spans="1:11">
      <c r="A26" s="174"/>
      <c r="B26" s="236"/>
      <c r="C26" s="237"/>
      <c r="D26" s="237"/>
      <c r="E26" s="237"/>
      <c r="F26" s="237"/>
      <c r="G26" s="237"/>
      <c r="H26" s="238"/>
      <c r="I26" s="175"/>
      <c r="J26" s="175"/>
      <c r="K26" s="163">
        <f t="shared" si="0"/>
        <v>0</v>
      </c>
    </row>
    <row r="27" spans="1:11">
      <c r="A27" s="174"/>
      <c r="B27" s="236"/>
      <c r="C27" s="237"/>
      <c r="D27" s="237"/>
      <c r="E27" s="237"/>
      <c r="F27" s="237"/>
      <c r="G27" s="237"/>
      <c r="H27" s="238"/>
      <c r="I27" s="175"/>
      <c r="J27" s="175"/>
      <c r="K27" s="163">
        <f t="shared" si="0"/>
        <v>0</v>
      </c>
    </row>
    <row r="28" spans="1:11">
      <c r="A28" s="174"/>
      <c r="B28" s="236"/>
      <c r="C28" s="237"/>
      <c r="D28" s="237"/>
      <c r="E28" s="237"/>
      <c r="F28" s="237"/>
      <c r="G28" s="237"/>
      <c r="H28" s="238"/>
      <c r="I28" s="175"/>
      <c r="J28" s="175"/>
      <c r="K28" s="163">
        <f t="shared" si="0"/>
        <v>0</v>
      </c>
    </row>
    <row r="29" spans="1:11">
      <c r="A29" s="174"/>
      <c r="B29" s="236"/>
      <c r="C29" s="237"/>
      <c r="D29" s="237"/>
      <c r="E29" s="237"/>
      <c r="F29" s="237"/>
      <c r="G29" s="237"/>
      <c r="H29" s="238"/>
      <c r="I29" s="175"/>
      <c r="J29" s="175"/>
      <c r="K29" s="163">
        <f t="shared" si="0"/>
        <v>0</v>
      </c>
    </row>
    <row r="30" spans="1:11" ht="15" thickBot="1">
      <c r="A30" s="177"/>
      <c r="B30" s="257"/>
      <c r="C30" s="258"/>
      <c r="D30" s="258"/>
      <c r="E30" s="258"/>
      <c r="F30" s="258"/>
      <c r="G30" s="258"/>
      <c r="H30" s="259"/>
      <c r="I30" s="178"/>
      <c r="J30" s="178"/>
      <c r="K30" s="164">
        <f t="shared" si="0"/>
        <v>0</v>
      </c>
    </row>
    <row r="31" spans="1:11">
      <c r="A31" s="250" t="s">
        <v>153</v>
      </c>
      <c r="B31" s="251"/>
      <c r="C31" s="251"/>
      <c r="D31" s="251"/>
      <c r="E31" s="251"/>
      <c r="F31" s="251"/>
      <c r="G31" s="251"/>
      <c r="H31" s="251"/>
      <c r="I31" s="251"/>
      <c r="J31" s="252"/>
      <c r="K31" s="165">
        <f>SUMIF(A7:A30,"ATELIER",K7:K30)</f>
        <v>0</v>
      </c>
    </row>
    <row r="32" spans="1:11" ht="15" thickBot="1">
      <c r="A32" s="253" t="s">
        <v>154</v>
      </c>
      <c r="B32" s="254"/>
      <c r="C32" s="254"/>
      <c r="D32" s="254"/>
      <c r="E32" s="254"/>
      <c r="F32" s="254"/>
      <c r="G32" s="254"/>
      <c r="H32" s="254"/>
      <c r="I32" s="254"/>
      <c r="J32" s="255"/>
      <c r="K32" s="166">
        <f>SUMIF(A7:A30,"INFORMATIQUE",K7:K30)</f>
        <v>0</v>
      </c>
    </row>
    <row r="33" spans="1:11" s="169" customFormat="1" ht="18" customHeight="1" thickBot="1">
      <c r="A33" s="256" t="s">
        <v>155</v>
      </c>
      <c r="B33" s="256"/>
      <c r="C33" s="256"/>
      <c r="D33" s="256"/>
      <c r="E33" s="256"/>
      <c r="F33" s="256"/>
      <c r="G33" s="256"/>
      <c r="H33" s="256"/>
      <c r="I33" s="167"/>
      <c r="J33" s="167"/>
      <c r="K33" s="168">
        <f>SUM(K31:K32)</f>
        <v>0</v>
      </c>
    </row>
    <row r="34" spans="1:11" ht="18" customHeight="1" thickBot="1">
      <c r="A34" s="256" t="s">
        <v>160</v>
      </c>
      <c r="B34" s="256"/>
      <c r="C34" s="256"/>
      <c r="D34" s="256"/>
      <c r="E34" s="256"/>
      <c r="F34" s="256"/>
      <c r="G34" s="256"/>
      <c r="H34" s="256"/>
      <c r="I34" s="167"/>
      <c r="J34" s="167"/>
      <c r="K34" s="168">
        <f>'FIT 2020 07 03'!K34+K33</f>
        <v>0</v>
      </c>
    </row>
  </sheetData>
  <mergeCells count="34">
    <mergeCell ref="B12:H12"/>
    <mergeCell ref="A1:D1"/>
    <mergeCell ref="J1:K1"/>
    <mergeCell ref="A2:K2"/>
    <mergeCell ref="A3:K3"/>
    <mergeCell ref="B4:K4"/>
    <mergeCell ref="B6:H6"/>
    <mergeCell ref="B7:H7"/>
    <mergeCell ref="B8:H8"/>
    <mergeCell ref="B9:H9"/>
    <mergeCell ref="B10:H10"/>
    <mergeCell ref="B11:H11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A31:J31"/>
    <mergeCell ref="A32:J32"/>
    <mergeCell ref="A33:H33"/>
    <mergeCell ref="A34:H34"/>
    <mergeCell ref="B25:H25"/>
    <mergeCell ref="B26:H26"/>
    <mergeCell ref="B27:H27"/>
    <mergeCell ref="B28:H28"/>
    <mergeCell ref="B29:H29"/>
    <mergeCell ref="B30:H30"/>
  </mergeCells>
  <conditionalFormatting sqref="K31:K33">
    <cfRule type="cellIs" dxfId="28" priority="15" operator="notEqual">
      <formula>0</formula>
    </cfRule>
  </conditionalFormatting>
  <conditionalFormatting sqref="A7 A11:A32">
    <cfRule type="cellIs" dxfId="27" priority="13" operator="equal">
      <formula>"INFORMATIQUE"</formula>
    </cfRule>
    <cfRule type="cellIs" dxfId="26" priority="14" operator="equal">
      <formula>"ATELIER"</formula>
    </cfRule>
  </conditionalFormatting>
  <conditionalFormatting sqref="K31">
    <cfRule type="cellIs" dxfId="25" priority="12" operator="notEqual">
      <formula>0</formula>
    </cfRule>
  </conditionalFormatting>
  <conditionalFormatting sqref="K32">
    <cfRule type="cellIs" dxfId="24" priority="11" operator="notEqual">
      <formula>0</formula>
    </cfRule>
  </conditionalFormatting>
  <conditionalFormatting sqref="K34">
    <cfRule type="cellIs" dxfId="23" priority="8" operator="greaterThan">
      <formula>34.2</formula>
    </cfRule>
    <cfRule type="cellIs" dxfId="22" priority="9" operator="lessThanOrEqual">
      <formula>34.2</formula>
    </cfRule>
    <cfRule type="cellIs" dxfId="21" priority="10" operator="notEqual">
      <formula>0</formula>
    </cfRule>
  </conditionalFormatting>
  <conditionalFormatting sqref="A9">
    <cfRule type="cellIs" dxfId="20" priority="6" operator="equal">
      <formula>"INFORMATIQUE"</formula>
    </cfRule>
    <cfRule type="cellIs" dxfId="19" priority="7" operator="equal">
      <formula>"ATELIER"</formula>
    </cfRule>
  </conditionalFormatting>
  <conditionalFormatting sqref="A10">
    <cfRule type="cellIs" dxfId="18" priority="4" operator="equal">
      <formula>"INFORMATIQUE"</formula>
    </cfRule>
    <cfRule type="cellIs" dxfId="17" priority="5" operator="equal">
      <formula>"ATELIER"</formula>
    </cfRule>
  </conditionalFormatting>
  <conditionalFormatting sqref="A8">
    <cfRule type="cellIs" dxfId="16" priority="2" operator="equal">
      <formula>"INFORMATIQUE"</formula>
    </cfRule>
    <cfRule type="cellIs" dxfId="15" priority="3" operator="equal">
      <formula>"ATELIER"</formula>
    </cfRule>
  </conditionalFormatting>
  <conditionalFormatting sqref="K7:K30">
    <cfRule type="cellIs" dxfId="14" priority="1" operator="notEqual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LISTES!$M$2:$M$15</xm:f>
          </x14:formula1>
          <xm:sqref>B7:H30</xm:sqref>
        </x14:dataValidation>
        <x14:dataValidation type="list" errorStyle="information" allowBlank="1">
          <x14:formula1>
            <xm:f>LISTES!$K$2:$K$61</xm:f>
          </x14:formula1>
          <xm:sqref>I7:J30</xm:sqref>
        </x14:dataValidation>
        <x14:dataValidation type="list" allowBlank="1">
          <x14:formula1>
            <xm:f>LISTES!$H$2:$H$5</xm:f>
          </x14:formula1>
          <xm:sqref>A7:A30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7">
    <tabColor theme="7" tint="0.39997558519241921"/>
  </sheetPr>
  <dimension ref="A1:AD33"/>
  <sheetViews>
    <sheetView showGridLines="0" workbookViewId="0">
      <selection activeCell="R2" sqref="R2:R3"/>
    </sheetView>
  </sheetViews>
  <sheetFormatPr baseColWidth="10" defaultColWidth="3.28515625" defaultRowHeight="15"/>
  <cols>
    <col min="1" max="1" width="5" bestFit="1" customWidth="1"/>
    <col min="3" max="3" width="6.5703125" customWidth="1"/>
    <col min="4" max="4" width="5" bestFit="1" customWidth="1"/>
    <col min="7" max="7" width="12.28515625" style="65" customWidth="1"/>
    <col min="8" max="8" width="4.85546875" customWidth="1"/>
    <col min="9" max="9" width="12.5703125" bestFit="1" customWidth="1"/>
    <col min="10" max="10" width="12.140625" bestFit="1" customWidth="1"/>
    <col min="12" max="12" width="5" bestFit="1" customWidth="1"/>
    <col min="15" max="30" width="12.7109375" customWidth="1"/>
  </cols>
  <sheetData>
    <row r="1" spans="1:30" ht="15.75" thickBot="1"/>
    <row r="2" spans="1:30" ht="15.75" customHeight="1" thickTop="1">
      <c r="A2" s="275">
        <f>PLANNING!D2</f>
        <v>2020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  <c r="R2" s="155">
        <f>SUMPRODUCT((Tableau1[Nom]=A8)*(Tableau1[Type]="Informatique")*(Tableau1[Heures Info]))</f>
        <v>0</v>
      </c>
      <c r="S2" t="s">
        <v>133</v>
      </c>
    </row>
    <row r="3" spans="1:30" ht="15" customHeight="1">
      <c r="A3" s="278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0"/>
      <c r="R3" s="155">
        <f>SUMPRODUCT((Tableau1[Nom]=A8)*(Tableau1[Type]="Atelier")*(Tableau1[Heures Ate]))</f>
        <v>0</v>
      </c>
      <c r="S3" t="s">
        <v>134</v>
      </c>
    </row>
    <row r="4" spans="1:30" ht="15.75" customHeight="1" thickBot="1">
      <c r="A4" s="281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3"/>
    </row>
    <row r="5" spans="1:30" ht="15" customHeight="1" thickTop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0" s="58" customFormat="1" ht="15" customHeight="1" thickTop="1" thickBot="1">
      <c r="A6" s="56" t="s">
        <v>77</v>
      </c>
      <c r="B6" s="56" t="s">
        <v>78</v>
      </c>
      <c r="C6" s="57">
        <f>EDATE(1,12)</f>
        <v>367</v>
      </c>
      <c r="D6" s="1">
        <f>An_ref</f>
        <v>2020</v>
      </c>
      <c r="E6" s="56" t="s">
        <v>76</v>
      </c>
      <c r="F6" s="56">
        <v>31</v>
      </c>
      <c r="G6" s="60">
        <f>EDATE(1,11)</f>
        <v>336</v>
      </c>
      <c r="H6" s="56">
        <f>An_ref</f>
        <v>2020</v>
      </c>
      <c r="I6" s="56"/>
      <c r="J6" s="56"/>
      <c r="K6" s="59"/>
      <c r="M6" s="56"/>
      <c r="N6" s="56"/>
      <c r="O6" s="56"/>
      <c r="P6" s="56"/>
    </row>
    <row r="7" spans="1:30" s="1" customFormat="1" ht="16.5" thickTop="1" thickBot="1">
      <c r="A7" s="260" t="s">
        <v>40</v>
      </c>
      <c r="B7" s="261"/>
      <c r="C7" s="261"/>
      <c r="D7" s="261"/>
      <c r="E7" s="261"/>
      <c r="F7" s="261"/>
      <c r="G7" s="261"/>
      <c r="H7" s="262"/>
      <c r="I7" s="61" t="s">
        <v>79</v>
      </c>
      <c r="J7" s="74" t="s">
        <v>80</v>
      </c>
      <c r="K7" s="260" t="s">
        <v>39</v>
      </c>
      <c r="L7" s="261"/>
      <c r="M7" s="261"/>
      <c r="N7" s="262"/>
      <c r="O7" s="73" t="s">
        <v>41</v>
      </c>
      <c r="P7" s="73" t="s">
        <v>42</v>
      </c>
      <c r="Q7" s="73" t="s">
        <v>46</v>
      </c>
      <c r="R7" s="73" t="s">
        <v>122</v>
      </c>
      <c r="S7" s="73" t="s">
        <v>123</v>
      </c>
      <c r="T7" s="73" t="s">
        <v>124</v>
      </c>
      <c r="U7" s="73" t="s">
        <v>125</v>
      </c>
      <c r="V7" s="73" t="s">
        <v>126</v>
      </c>
      <c r="W7" s="73" t="s">
        <v>43</v>
      </c>
      <c r="X7" s="73" t="s">
        <v>44</v>
      </c>
      <c r="Y7" s="73" t="s">
        <v>127</v>
      </c>
      <c r="Z7" s="73" t="s">
        <v>128</v>
      </c>
      <c r="AA7" s="73" t="s">
        <v>3</v>
      </c>
      <c r="AB7" s="73" t="s">
        <v>45</v>
      </c>
      <c r="AC7" s="73" t="s">
        <v>129</v>
      </c>
      <c r="AD7" s="61" t="s">
        <v>2</v>
      </c>
    </row>
    <row r="8" spans="1:30" ht="17.25" thickTop="1" thickBot="1">
      <c r="A8" s="266" t="s">
        <v>82</v>
      </c>
      <c r="B8" s="267"/>
      <c r="C8" s="267"/>
      <c r="D8" s="267"/>
      <c r="E8" s="267"/>
      <c r="F8" s="267"/>
      <c r="G8" s="267"/>
      <c r="H8" s="268"/>
      <c r="I8" s="64">
        <v>35286</v>
      </c>
      <c r="J8" s="67"/>
      <c r="K8" s="266">
        <v>30</v>
      </c>
      <c r="L8" s="267"/>
      <c r="M8" s="267"/>
      <c r="N8" s="268"/>
      <c r="O8" s="66">
        <f>SUMPRODUCT((Tableau1[Nom]=$A$8)*(Tableau1[Type]="Congés Payés")*(Tableau1[Nbre jours concernés]))</f>
        <v>0</v>
      </c>
      <c r="P8" s="70">
        <f>K8-O8</f>
        <v>30</v>
      </c>
      <c r="Q8" s="75">
        <f>SUMPRODUCT((Tableau1[Nom]=A8)*(Tableau1[Type]="Accident Travail")*(Tableau1[Nbre jours concernés]))</f>
        <v>0</v>
      </c>
      <c r="R8" s="75">
        <f>SUMPRODUCT((Tableau1[Nom]=A8)*(Tableau1[Type]="Agence")*(Tableau1[Nbre jours concernés]))</f>
        <v>0</v>
      </c>
      <c r="S8" s="75">
        <f>SUMPRODUCT((Tableau1[Nom]=A8)*(Tableau1[Type]="Allotub")*(Tableau1[Nbre jours concernés]))</f>
        <v>0</v>
      </c>
      <c r="T8" s="75">
        <f>SUMPRODUCT((Tableau1[Nom]=A8)*(Tableau1[Type]="Atelier")*(Tableau1[Nbre jours concernés]))</f>
        <v>0</v>
      </c>
      <c r="U8" s="75">
        <f>SUMPRODUCT((Tableau1[Nom]=A8)*(Tableau1[Type]="Atelier / Informatique")*(Tableau1[Nbre jours concernés]))</f>
        <v>0</v>
      </c>
      <c r="V8" s="75">
        <f>SUMPRODUCT((Tableau1[Nom]=A8)*(Tableau1[Type]="Conduite")*(Tableau1[Nbre jours concernés]))</f>
        <v>0</v>
      </c>
      <c r="W8" s="75">
        <f>SUMPRODUCT((Tableau1[Nom]=A8)*(Tableau1[Type]="Congés Parental")*(Tableau1[Nbre jours concernés]))</f>
        <v>0</v>
      </c>
      <c r="X8" s="75">
        <f>SUMPRODUCT((Tableau1[Nom]=A8)*(Tableau1[Type]="Evèn.Spéciaux")*(Tableau1[Nbre jours concernés]))</f>
        <v>0</v>
      </c>
      <c r="Y8" s="75">
        <f>SUMPRODUCT((Tableau1[Nom]=A8)*(Tableau1[Type]="Informatique")*(Tableau1[Nbre jours concernés]))</f>
        <v>0</v>
      </c>
      <c r="Z8" s="75">
        <f>SUMPRODUCT((Tableau1[Nom]=A8)*(Tableau1[Type]="Jour Solidarité")*(Tableau1[Nbre jours concernés]))</f>
        <v>0</v>
      </c>
      <c r="AA8" s="75">
        <f>SUMPRODUCT((Tableau1[Nom]=A8)*(Tableau1[Type]="Maladie")*(Tableau1[Nbre jours concernés]))</f>
        <v>0</v>
      </c>
      <c r="AB8" s="75">
        <f>SUMPRODUCT((Tableau1[Nom]=A8)*(Tableau1[Type]="Récup")*(Tableau1[Nbre jours concernés]))</f>
        <v>0</v>
      </c>
      <c r="AC8" s="75">
        <f>SUMPRODUCT((Tableau1[Nom]=A8)*(Tableau1[Type]="Repos")*(Tableau1[Nbre jours concernés]))</f>
        <v>0</v>
      </c>
      <c r="AD8" s="75">
        <f>SUMPRODUCT((Tableau1[Nom]=A8)*(Tableau1[Type]="Retard")*(Tableau1[Nbre jours concernés]))</f>
        <v>0</v>
      </c>
    </row>
    <row r="9" spans="1:30" ht="17.25" thickTop="1" thickBot="1">
      <c r="A9" s="269">
        <f>LISTES!D3</f>
        <v>0</v>
      </c>
      <c r="B9" s="270"/>
      <c r="C9" s="270"/>
      <c r="D9" s="270"/>
      <c r="E9" s="270"/>
      <c r="F9" s="270"/>
      <c r="G9" s="270"/>
      <c r="H9" s="271"/>
      <c r="I9" s="62"/>
      <c r="J9" s="71"/>
      <c r="K9" s="272"/>
      <c r="L9" s="273"/>
      <c r="M9" s="273"/>
      <c r="N9" s="274"/>
      <c r="O9" s="68">
        <f>SUMPRODUCT((Tableau1[Nom]=$A$9)*(Tableau1[Type]="Congés Payés")*(Tableau1[Nbre jours concernés]))</f>
        <v>0</v>
      </c>
      <c r="P9" s="72">
        <f t="shared" ref="P9:P32" si="0">K9-O9</f>
        <v>0</v>
      </c>
      <c r="Q9" s="68">
        <f>SUMPRODUCT((Tableau1[Nom]=A9)*(Tableau1[Type]="Accident Travail")*(Tableau1[Nbre jours concernés]))</f>
        <v>0</v>
      </c>
      <c r="R9" s="68">
        <f>SUMPRODUCT((Tableau1[Nom]=A9)*(Tableau1[Type]="Agence")*(Tableau1[Nbre jours concernés]))</f>
        <v>0</v>
      </c>
      <c r="S9" s="68">
        <f>SUMPRODUCT((Tableau1[Nom]=A9)*(Tableau1[Type]="Allotub")*(Tableau1[Nbre jours concernés]))</f>
        <v>0</v>
      </c>
      <c r="T9" s="68">
        <f>SUMPRODUCT((Tableau1[Nom]=A9)*(Tableau1[Type]="Atelier")*(Tableau1[Nbre jours concernés]))</f>
        <v>0</v>
      </c>
      <c r="U9" s="68">
        <f>SUMPRODUCT((Tableau1[Nom]=A9)*(Tableau1[Type]="Atelier / Informatique")*(Tableau1[Nbre jours concernés]))</f>
        <v>0</v>
      </c>
      <c r="V9" s="68">
        <f>SUMPRODUCT((Tableau1[Nom]=A9)*(Tableau1[Type]="Conduite")*(Tableau1[Nbre jours concernés]))</f>
        <v>0</v>
      </c>
      <c r="W9" s="68">
        <f>SUMPRODUCT((Tableau1[Nom]=A9)*(Tableau1[Type]="Congés Parental")*(Tableau1[Nbre jours concernés]))</f>
        <v>0</v>
      </c>
      <c r="X9" s="68">
        <f>SUMPRODUCT((Tableau1[Nom]=A9)*(Tableau1[Type]="Evèn.Spéciaux")*(Tableau1[Nbre jours concernés]))</f>
        <v>0</v>
      </c>
      <c r="Y9" s="68">
        <f>SUMPRODUCT((Tableau1[Nom]=A9)*(Tableau1[Type]="Informatique")*(Tableau1[Nbre jours concernés]))</f>
        <v>0</v>
      </c>
      <c r="Z9" s="68">
        <f>SUMPRODUCT((Tableau1[Nom]=A9)*(Tableau1[Type]="Jour Solidarité")*(Tableau1[Nbre jours concernés]))</f>
        <v>0</v>
      </c>
      <c r="AA9" s="68">
        <f>SUMPRODUCT((Tableau1[Nom]=A9)*(Tableau1[Type]="Maladie")*(Tableau1[Nbre jours concernés]))</f>
        <v>0</v>
      </c>
      <c r="AB9" s="68">
        <f>SUMPRODUCT((Tableau1[Nom]=A9)*(Tableau1[Type]="Récup")*(Tableau1[Nbre jours concernés]))</f>
        <v>0</v>
      </c>
      <c r="AC9" s="68">
        <f>SUMPRODUCT((Tableau1[Nom]=A9)*(Tableau1[Type]="Repos")*(Tableau1[Nbre jours concernés]))</f>
        <v>0</v>
      </c>
      <c r="AD9" s="153">
        <f>SUMPRODUCT((Tableau1[Nom]=A9)*(Tableau1[Type]="Retard")*(Tableau1[Nbre jours concernés]))</f>
        <v>0</v>
      </c>
    </row>
    <row r="10" spans="1:30" ht="17.25" thickTop="1" thickBot="1">
      <c r="A10" s="263">
        <f>LISTES!D4</f>
        <v>0</v>
      </c>
      <c r="B10" s="264"/>
      <c r="C10" s="264"/>
      <c r="D10" s="264"/>
      <c r="E10" s="264"/>
      <c r="F10" s="264"/>
      <c r="G10" s="264"/>
      <c r="H10" s="265"/>
      <c r="I10" s="63"/>
      <c r="J10" s="69"/>
      <c r="K10" s="266"/>
      <c r="L10" s="267"/>
      <c r="M10" s="267"/>
      <c r="N10" s="268"/>
      <c r="O10" s="66">
        <f>SUMPRODUCT((Tableau1[Nom]=$A$10)*(Tableau1[Type]="Congés Payés")*(Tableau1[Nbre jours concernés]))</f>
        <v>0</v>
      </c>
      <c r="P10" s="70">
        <f t="shared" si="0"/>
        <v>0</v>
      </c>
      <c r="Q10" s="66">
        <f>SUMPRODUCT((Tableau1[Nom]=A10)*(Tableau1[Type]="Accident Travail")*(Tableau1[Nbre jours concernés]))</f>
        <v>0</v>
      </c>
      <c r="R10" s="66">
        <f>SUMPRODUCT((Tableau1[Nom]=A10)*(Tableau1[Type]="Agence")*(Tableau1[Nbre jours concernés]))</f>
        <v>0</v>
      </c>
      <c r="S10" s="66">
        <f>SUMPRODUCT((Tableau1[Nom]=A10)*(Tableau1[Type]="Allotub")*(Tableau1[Nbre jours concernés]))</f>
        <v>0</v>
      </c>
      <c r="T10" s="66">
        <f>SUMPRODUCT((Tableau1[Nom]=A10)*(Tableau1[Type]="Atelier")*(Tableau1[Nbre jours concernés]))</f>
        <v>0</v>
      </c>
      <c r="U10" s="66">
        <f>SUMPRODUCT((Tableau1[Nom]=A10)*(Tableau1[Type]="Atelier / Informatique")*(Tableau1[Nbre jours concernés]))</f>
        <v>0</v>
      </c>
      <c r="V10" s="66">
        <f>SUMPRODUCT((Tableau1[Nom]=A10)*(Tableau1[Type]="Conduite")*(Tableau1[Nbre jours concernés]))</f>
        <v>0</v>
      </c>
      <c r="W10" s="66">
        <f>SUMPRODUCT((Tableau1[Nom]=A10)*(Tableau1[Type]="Congés Parental")*(Tableau1[Nbre jours concernés]))</f>
        <v>0</v>
      </c>
      <c r="X10" s="66">
        <f>SUMPRODUCT((Tableau1[Nom]=A10)*(Tableau1[Type]="Evèn.Spéciaux")*(Tableau1[Nbre jours concernés]))</f>
        <v>0</v>
      </c>
      <c r="Y10" s="66">
        <f>SUMPRODUCT((Tableau1[Nom]=A10)*(Tableau1[Type]="Informatique")*(Tableau1[Nbre jours concernés]))</f>
        <v>0</v>
      </c>
      <c r="Z10" s="66">
        <f>SUMPRODUCT((Tableau1[Nom]=A10)*(Tableau1[Type]="Jour Solidarité")*(Tableau1[Nbre jours concernés]))</f>
        <v>0</v>
      </c>
      <c r="AA10" s="66">
        <f>SUMPRODUCT((Tableau1[Nom]=A10)*(Tableau1[Type]="Maladie")*(Tableau1[Nbre jours concernés]))</f>
        <v>0</v>
      </c>
      <c r="AB10" s="66">
        <f>SUMPRODUCT((Tableau1[Nom]=A10)*(Tableau1[Type]="Récup")*(Tableau1[Nbre jours concernés]))</f>
        <v>0</v>
      </c>
      <c r="AC10" s="66">
        <f>SUMPRODUCT((Tableau1[Nom]=A10)*(Tableau1[Type]="Repos")*(Tableau1[Nbre jours concernés]))</f>
        <v>0</v>
      </c>
      <c r="AD10" s="152">
        <f>SUMPRODUCT((Tableau1[Nom]=A10)*(Tableau1[Type]="Retard")*(Tableau1[Nbre jours concernés]))</f>
        <v>0</v>
      </c>
    </row>
    <row r="11" spans="1:30" ht="17.25" thickTop="1" thickBot="1">
      <c r="A11" s="269">
        <f>LISTES!D5</f>
        <v>0</v>
      </c>
      <c r="B11" s="270"/>
      <c r="C11" s="270"/>
      <c r="D11" s="270"/>
      <c r="E11" s="270"/>
      <c r="F11" s="270"/>
      <c r="G11" s="270"/>
      <c r="H11" s="271"/>
      <c r="I11" s="62"/>
      <c r="J11" s="71"/>
      <c r="K11" s="272"/>
      <c r="L11" s="273"/>
      <c r="M11" s="273"/>
      <c r="N11" s="274"/>
      <c r="O11" s="68">
        <f>SUMPRODUCT((Tableau1[Nom]=$A$11)*(Tableau1[Type]="Congés Payés")*(Tableau1[Nbre jours concernés]))</f>
        <v>0</v>
      </c>
      <c r="P11" s="72">
        <f t="shared" si="0"/>
        <v>0</v>
      </c>
      <c r="Q11" s="68">
        <f>SUMPRODUCT((Tableau1[Nom]=A11)*(Tableau1[Type]="Accident Travail")*(Tableau1[Nbre jours concernés]))</f>
        <v>0</v>
      </c>
      <c r="R11" s="68">
        <f>SUMPRODUCT((Tableau1[Nom]=A11)*(Tableau1[Type]="Agence")*(Tableau1[Nbre jours concernés]))</f>
        <v>0</v>
      </c>
      <c r="S11" s="68">
        <f>SUMPRODUCT((Tableau1[Nom]=A11)*(Tableau1[Type]="Allotub")*(Tableau1[Nbre jours concernés]))</f>
        <v>0</v>
      </c>
      <c r="T11" s="68">
        <f>SUMPRODUCT((Tableau1[Nom]=A11)*(Tableau1[Type]="Atelier")*(Tableau1[Nbre jours concernés]))</f>
        <v>0</v>
      </c>
      <c r="U11" s="68">
        <f>SUMPRODUCT((Tableau1[Nom]=A11)*(Tableau1[Type]="Atelier / Informatique")*(Tableau1[Nbre jours concernés]))</f>
        <v>0</v>
      </c>
      <c r="V11" s="68">
        <f>SUMPRODUCT((Tableau1[Nom]=A11)*(Tableau1[Type]="Conduite")*(Tableau1[Nbre jours concernés]))</f>
        <v>0</v>
      </c>
      <c r="W11" s="68">
        <f>SUMPRODUCT((Tableau1[Nom]=A11)*(Tableau1[Type]="Congés Parental")*(Tableau1[Nbre jours concernés]))</f>
        <v>0</v>
      </c>
      <c r="X11" s="68">
        <f>SUMPRODUCT((Tableau1[Nom]=A11)*(Tableau1[Type]="Evèn.Spéciaux")*(Tableau1[Nbre jours concernés]))</f>
        <v>0</v>
      </c>
      <c r="Y11" s="68">
        <f>SUMPRODUCT((Tableau1[Nom]=A11)*(Tableau1[Type]="Informatique")*(Tableau1[Nbre jours concernés]))</f>
        <v>0</v>
      </c>
      <c r="Z11" s="68">
        <f>SUMPRODUCT((Tableau1[Nom]=A11)*(Tableau1[Type]="Jour Solidarité")*(Tableau1[Nbre jours concernés]))</f>
        <v>0</v>
      </c>
      <c r="AA11" s="68">
        <f>SUMPRODUCT((Tableau1[Nom]=A11)*(Tableau1[Type]="Maladie")*(Tableau1[Nbre jours concernés]))</f>
        <v>0</v>
      </c>
      <c r="AB11" s="68">
        <f>SUMPRODUCT((Tableau1[Nom]=A11)*(Tableau1[Type]="Récup")*(Tableau1[Nbre jours concernés]))</f>
        <v>0</v>
      </c>
      <c r="AC11" s="68">
        <f>SUMPRODUCT((Tableau1[Nom]=A11)*(Tableau1[Type]="Repos")*(Tableau1[Nbre jours concernés]))</f>
        <v>0</v>
      </c>
      <c r="AD11" s="153">
        <f>SUMPRODUCT((Tableau1[Nom]=A11)*(Tableau1[Type]="Retard")*(Tableau1[Nbre jours concernés]))</f>
        <v>0</v>
      </c>
    </row>
    <row r="12" spans="1:30" ht="17.25" thickTop="1" thickBot="1">
      <c r="A12" s="263">
        <f>LISTES!D6</f>
        <v>0</v>
      </c>
      <c r="B12" s="264"/>
      <c r="C12" s="264"/>
      <c r="D12" s="264"/>
      <c r="E12" s="264"/>
      <c r="F12" s="264"/>
      <c r="G12" s="264"/>
      <c r="H12" s="265"/>
      <c r="I12" s="63"/>
      <c r="J12" s="69"/>
      <c r="K12" s="266"/>
      <c r="L12" s="267"/>
      <c r="M12" s="267"/>
      <c r="N12" s="268"/>
      <c r="O12" s="66">
        <f>SUMPRODUCT((Tableau1[Nom]=$A$12)*(Tableau1[Type]="Congés Payés")*(Tableau1[Nbre jours concernés]))</f>
        <v>0</v>
      </c>
      <c r="P12" s="70">
        <f t="shared" si="0"/>
        <v>0</v>
      </c>
      <c r="Q12" s="66">
        <f>SUMPRODUCT((Tableau1[Nom]=A12)*(Tableau1[Type]="Accident Travail")*(Tableau1[Nbre jours concernés]))</f>
        <v>0</v>
      </c>
      <c r="R12" s="66">
        <f>SUMPRODUCT((Tableau1[Nom]=A12)*(Tableau1[Type]="Agence")*(Tableau1[Nbre jours concernés]))</f>
        <v>0</v>
      </c>
      <c r="S12" s="66">
        <f>SUMPRODUCT((Tableau1[Nom]=A12)*(Tableau1[Type]="Allotub")*(Tableau1[Nbre jours concernés]))</f>
        <v>0</v>
      </c>
      <c r="T12" s="66">
        <f>SUMPRODUCT((Tableau1[Nom]=A12)*(Tableau1[Type]="Atelier")*(Tableau1[Nbre jours concernés]))</f>
        <v>0</v>
      </c>
      <c r="U12" s="66">
        <f>SUMPRODUCT((Tableau1[Nom]=A12)*(Tableau1[Type]="Atelier / Informatique")*(Tableau1[Nbre jours concernés]))</f>
        <v>0</v>
      </c>
      <c r="V12" s="66">
        <f>SUMPRODUCT((Tableau1[Nom]=A12)*(Tableau1[Type]="Conduite")*(Tableau1[Nbre jours concernés]))</f>
        <v>0</v>
      </c>
      <c r="W12" s="66">
        <f>SUMPRODUCT((Tableau1[Nom]=A12)*(Tableau1[Type]="Congés Parental")*(Tableau1[Nbre jours concernés]))</f>
        <v>0</v>
      </c>
      <c r="X12" s="66">
        <f>SUMPRODUCT((Tableau1[Nom]=A12)*(Tableau1[Type]="Evèn.Spéciaux")*(Tableau1[Nbre jours concernés]))</f>
        <v>0</v>
      </c>
      <c r="Y12" s="66">
        <f>SUMPRODUCT((Tableau1[Nom]=A12)*(Tableau1[Type]="Informatique")*(Tableau1[Nbre jours concernés]))</f>
        <v>0</v>
      </c>
      <c r="Z12" s="66">
        <f>SUMPRODUCT((Tableau1[Nom]=A12)*(Tableau1[Type]="Jour Solidarité")*(Tableau1[Nbre jours concernés]))</f>
        <v>0</v>
      </c>
      <c r="AA12" s="66">
        <f>SUMPRODUCT((Tableau1[Nom]=A12)*(Tableau1[Type]="Maladie")*(Tableau1[Nbre jours concernés]))</f>
        <v>0</v>
      </c>
      <c r="AB12" s="66">
        <f>SUMPRODUCT((Tableau1[Nom]=A12)*(Tableau1[Type]="Récup")*(Tableau1[Nbre jours concernés]))</f>
        <v>0</v>
      </c>
      <c r="AC12" s="66">
        <f>SUMPRODUCT((Tableau1[Nom]=A12)*(Tableau1[Type]="Repos")*(Tableau1[Nbre jours concernés]))</f>
        <v>0</v>
      </c>
      <c r="AD12" s="152">
        <f>SUMPRODUCT((Tableau1[Nom]=A12)*(Tableau1[Type]="Retard")*(Tableau1[Nbre jours concernés]))</f>
        <v>0</v>
      </c>
    </row>
    <row r="13" spans="1:30" ht="17.25" thickTop="1" thickBot="1">
      <c r="A13" s="269">
        <f>LISTES!D8</f>
        <v>0</v>
      </c>
      <c r="B13" s="270"/>
      <c r="C13" s="270"/>
      <c r="D13" s="270"/>
      <c r="E13" s="270"/>
      <c r="F13" s="270"/>
      <c r="G13" s="270"/>
      <c r="H13" s="271"/>
      <c r="I13" s="62"/>
      <c r="J13" s="71"/>
      <c r="K13" s="272"/>
      <c r="L13" s="273"/>
      <c r="M13" s="273"/>
      <c r="N13" s="274"/>
      <c r="O13" s="68">
        <f>SUMPRODUCT((Tableau1[Nom]=$A$13)*(Tableau1[Type]="Congés Payés")*(Tableau1[Nbre jours concernés]))</f>
        <v>0</v>
      </c>
      <c r="P13" s="72">
        <f t="shared" si="0"/>
        <v>0</v>
      </c>
      <c r="Q13" s="68">
        <f>SUMPRODUCT((Tableau1[Nom]=A13)*(Tableau1[Type]="Accident Travail")*(Tableau1[Nbre jours concernés]))</f>
        <v>0</v>
      </c>
      <c r="R13" s="68">
        <f>SUMPRODUCT((Tableau1[Nom]=A13)*(Tableau1[Type]="Agence")*(Tableau1[Nbre jours concernés]))</f>
        <v>0</v>
      </c>
      <c r="S13" s="68">
        <f>SUMPRODUCT((Tableau1[Nom]=A13)*(Tableau1[Type]="Allotub")*(Tableau1[Nbre jours concernés]))</f>
        <v>0</v>
      </c>
      <c r="T13" s="68">
        <f>SUMPRODUCT((Tableau1[Nom]=A13)*(Tableau1[Type]="Atelier")*(Tableau1[Nbre jours concernés]))</f>
        <v>0</v>
      </c>
      <c r="U13" s="68">
        <f>SUMPRODUCT((Tableau1[Nom]=A13)*(Tableau1[Type]="Atelier / Informatique")*(Tableau1[Nbre jours concernés]))</f>
        <v>0</v>
      </c>
      <c r="V13" s="68">
        <f>SUMPRODUCT((Tableau1[Nom]=A13)*(Tableau1[Type]="Conduite")*(Tableau1[Nbre jours concernés]))</f>
        <v>0</v>
      </c>
      <c r="W13" s="68">
        <f>SUMPRODUCT((Tableau1[Nom]=A13)*(Tableau1[Type]="Congés Parental")*(Tableau1[Nbre jours concernés]))</f>
        <v>0</v>
      </c>
      <c r="X13" s="68">
        <f>SUMPRODUCT((Tableau1[Nom]=A13)*(Tableau1[Type]="Evèn.Spéciaux")*(Tableau1[Nbre jours concernés]))</f>
        <v>0</v>
      </c>
      <c r="Y13" s="68">
        <f>SUMPRODUCT((Tableau1[Nom]=A13)*(Tableau1[Type]="Informatique")*(Tableau1[Nbre jours concernés]))</f>
        <v>0</v>
      </c>
      <c r="Z13" s="68">
        <f>SUMPRODUCT((Tableau1[Nom]=A13)*(Tableau1[Type]="Jour Solidarité")*(Tableau1[Nbre jours concernés]))</f>
        <v>0</v>
      </c>
      <c r="AA13" s="68">
        <f>SUMPRODUCT((Tableau1[Nom]=A13)*(Tableau1[Type]="Maladie")*(Tableau1[Nbre jours concernés]))</f>
        <v>0</v>
      </c>
      <c r="AB13" s="68">
        <f>SUMPRODUCT((Tableau1[Nom]=A13)*(Tableau1[Type]="Récup")*(Tableau1[Nbre jours concernés]))</f>
        <v>0</v>
      </c>
      <c r="AC13" s="68">
        <f>SUMPRODUCT((Tableau1[Nom]=A13)*(Tableau1[Type]="Repos")*(Tableau1[Nbre jours concernés]))</f>
        <v>0</v>
      </c>
      <c r="AD13" s="153">
        <f>SUMPRODUCT((Tableau1[Nom]=A13)*(Tableau1[Type]="Retard")*(Tableau1[Nbre jours concernés]))</f>
        <v>0</v>
      </c>
    </row>
    <row r="14" spans="1:30" ht="17.25" thickTop="1" thickBot="1">
      <c r="A14" s="263">
        <f>LISTES!D9</f>
        <v>0</v>
      </c>
      <c r="B14" s="264"/>
      <c r="C14" s="264"/>
      <c r="D14" s="264"/>
      <c r="E14" s="264"/>
      <c r="F14" s="264"/>
      <c r="G14" s="264"/>
      <c r="H14" s="265"/>
      <c r="I14" s="63"/>
      <c r="J14" s="69"/>
      <c r="K14" s="266"/>
      <c r="L14" s="267"/>
      <c r="M14" s="267"/>
      <c r="N14" s="268"/>
      <c r="O14" s="66">
        <f>SUMPRODUCT((Tableau1[Nom]=$A$14)*(Tableau1[Type]="Congés Payés")*(Tableau1[Nbre jours concernés]))</f>
        <v>0</v>
      </c>
      <c r="P14" s="70">
        <f t="shared" si="0"/>
        <v>0</v>
      </c>
      <c r="Q14" s="66">
        <f>SUMPRODUCT((Tableau1[Nom]=A14)*(Tableau1[Type]="Accident Travail")*(Tableau1[Nbre jours concernés]))</f>
        <v>0</v>
      </c>
      <c r="R14" s="66">
        <f>SUMPRODUCT((Tableau1[Nom]=A14)*(Tableau1[Type]="Agence")*(Tableau1[Nbre jours concernés]))</f>
        <v>0</v>
      </c>
      <c r="S14" s="66">
        <f>SUMPRODUCT((Tableau1[Nom]=A14)*(Tableau1[Type]="Allotub")*(Tableau1[Nbre jours concernés]))</f>
        <v>0</v>
      </c>
      <c r="T14" s="66">
        <f>SUMPRODUCT((Tableau1[Nom]=A14)*(Tableau1[Type]="Atelier")*(Tableau1[Nbre jours concernés]))</f>
        <v>0</v>
      </c>
      <c r="U14" s="66">
        <f>SUMPRODUCT((Tableau1[Nom]=A14)*(Tableau1[Type]="Atelier / Informatique")*(Tableau1[Nbre jours concernés]))</f>
        <v>0</v>
      </c>
      <c r="V14" s="66">
        <f>SUMPRODUCT((Tableau1[Nom]=A14)*(Tableau1[Type]="Conduite")*(Tableau1[Nbre jours concernés]))</f>
        <v>0</v>
      </c>
      <c r="W14" s="66">
        <f>SUMPRODUCT((Tableau1[Nom]=A14)*(Tableau1[Type]="Congés Parental")*(Tableau1[Nbre jours concernés]))</f>
        <v>0</v>
      </c>
      <c r="X14" s="66">
        <f>SUMPRODUCT((Tableau1[Nom]=A14)*(Tableau1[Type]="Evèn.Spéciaux")*(Tableau1[Nbre jours concernés]))</f>
        <v>0</v>
      </c>
      <c r="Y14" s="66">
        <f>SUMPRODUCT((Tableau1[Nom]=A14)*(Tableau1[Type]="Informatique")*(Tableau1[Nbre jours concernés]))</f>
        <v>0</v>
      </c>
      <c r="Z14" s="66">
        <f>SUMPRODUCT((Tableau1[Nom]=A14)*(Tableau1[Type]="Jour Solidarité")*(Tableau1[Nbre jours concernés]))</f>
        <v>0</v>
      </c>
      <c r="AA14" s="66">
        <f>SUMPRODUCT((Tableau1[Nom]=A14)*(Tableau1[Type]="Maladie")*(Tableau1[Nbre jours concernés]))</f>
        <v>0</v>
      </c>
      <c r="AB14" s="66">
        <f>SUMPRODUCT((Tableau1[Nom]=A14)*(Tableau1[Type]="Récup")*(Tableau1[Nbre jours concernés]))</f>
        <v>0</v>
      </c>
      <c r="AC14" s="66">
        <f>SUMPRODUCT((Tableau1[Nom]=A14)*(Tableau1[Type]="Repos")*(Tableau1[Nbre jours concernés]))</f>
        <v>0</v>
      </c>
      <c r="AD14" s="152">
        <f>SUMPRODUCT((Tableau1[Nom]=A14)*(Tableau1[Type]="Retard")*(Tableau1[Nbre jours concernés]))</f>
        <v>0</v>
      </c>
    </row>
    <row r="15" spans="1:30" ht="17.25" thickTop="1" thickBot="1">
      <c r="A15" s="269">
        <f>LISTES!D17</f>
        <v>0</v>
      </c>
      <c r="B15" s="270"/>
      <c r="C15" s="270"/>
      <c r="D15" s="270"/>
      <c r="E15" s="270"/>
      <c r="F15" s="270"/>
      <c r="G15" s="270"/>
      <c r="H15" s="271"/>
      <c r="I15" s="62"/>
      <c r="J15" s="71"/>
      <c r="K15" s="272"/>
      <c r="L15" s="273"/>
      <c r="M15" s="273"/>
      <c r="N15" s="274"/>
      <c r="O15" s="68">
        <f>SUMPRODUCT((Tableau1[Nom]=$A$15)*(Tableau1[Type]="Congés Payés")*(Tableau1[Nbre jours concernés]))</f>
        <v>0</v>
      </c>
      <c r="P15" s="72">
        <f t="shared" si="0"/>
        <v>0</v>
      </c>
      <c r="Q15" s="68">
        <f>SUMPRODUCT((Tableau1[Nom]=A15)*(Tableau1[Type]="Accident Travail")*(Tableau1[Nbre jours concernés]))</f>
        <v>0</v>
      </c>
      <c r="R15" s="68">
        <f>SUMPRODUCT((Tableau1[Nom]=A15)*(Tableau1[Type]="Agence")*(Tableau1[Nbre jours concernés]))</f>
        <v>0</v>
      </c>
      <c r="S15" s="68">
        <f>SUMPRODUCT((Tableau1[Nom]=A15)*(Tableau1[Type]="Allotub")*(Tableau1[Nbre jours concernés]))</f>
        <v>0</v>
      </c>
      <c r="T15" s="68">
        <f>SUMPRODUCT((Tableau1[Nom]=A15)*(Tableau1[Type]="Atelier")*(Tableau1[Nbre jours concernés]))</f>
        <v>0</v>
      </c>
      <c r="U15" s="68">
        <f>SUMPRODUCT((Tableau1[Nom]=A15)*(Tableau1[Type]="Atelier / Informatique")*(Tableau1[Nbre jours concernés]))</f>
        <v>0</v>
      </c>
      <c r="V15" s="68">
        <f>SUMPRODUCT((Tableau1[Nom]=A15)*(Tableau1[Type]="Conduite")*(Tableau1[Nbre jours concernés]))</f>
        <v>0</v>
      </c>
      <c r="W15" s="68">
        <f>SUMPRODUCT((Tableau1[Nom]=A15)*(Tableau1[Type]="Congés Parental")*(Tableau1[Nbre jours concernés]))</f>
        <v>0</v>
      </c>
      <c r="X15" s="68">
        <f>SUMPRODUCT((Tableau1[Nom]=A15)*(Tableau1[Type]="Evèn.Spéciaux")*(Tableau1[Nbre jours concernés]))</f>
        <v>0</v>
      </c>
      <c r="Y15" s="68">
        <f>SUMPRODUCT((Tableau1[Nom]=A15)*(Tableau1[Type]="Informatique")*(Tableau1[Nbre jours concernés]))</f>
        <v>0</v>
      </c>
      <c r="Z15" s="68">
        <f>SUMPRODUCT((Tableau1[Nom]=A15)*(Tableau1[Type]="Jour Solidarité")*(Tableau1[Nbre jours concernés]))</f>
        <v>0</v>
      </c>
      <c r="AA15" s="68">
        <f>SUMPRODUCT((Tableau1[Nom]=A15)*(Tableau1[Type]="Maladie")*(Tableau1[Nbre jours concernés]))</f>
        <v>0</v>
      </c>
      <c r="AB15" s="68">
        <f>SUMPRODUCT((Tableau1[Nom]=A15)*(Tableau1[Type]="Récup")*(Tableau1[Nbre jours concernés]))</f>
        <v>0</v>
      </c>
      <c r="AC15" s="68">
        <f>SUMPRODUCT((Tableau1[Nom]=A15)*(Tableau1[Type]="Repos")*(Tableau1[Nbre jours concernés]))</f>
        <v>0</v>
      </c>
      <c r="AD15" s="153">
        <f>SUMPRODUCT((Tableau1[Nom]=A15)*(Tableau1[Type]="Retard")*(Tableau1[Nbre jours concernés]))</f>
        <v>0</v>
      </c>
    </row>
    <row r="16" spans="1:30" ht="17.25" thickTop="1" thickBot="1">
      <c r="A16" s="263">
        <f>LISTES!D62</f>
        <v>0</v>
      </c>
      <c r="B16" s="264"/>
      <c r="C16" s="264"/>
      <c r="D16" s="264"/>
      <c r="E16" s="264"/>
      <c r="F16" s="264"/>
      <c r="G16" s="264"/>
      <c r="H16" s="265"/>
      <c r="I16" s="63"/>
      <c r="J16" s="69"/>
      <c r="K16" s="266"/>
      <c r="L16" s="267"/>
      <c r="M16" s="267"/>
      <c r="N16" s="268"/>
      <c r="O16" s="66">
        <f>SUMPRODUCT((Tableau1[Nom]=$A$16)*(Tableau1[Type]="Congés Payés")*(Tableau1[Nbre jours concernés]))</f>
        <v>0</v>
      </c>
      <c r="P16" s="70">
        <f t="shared" si="0"/>
        <v>0</v>
      </c>
      <c r="Q16" s="66">
        <f>SUMPRODUCT((Tableau1[Nom]=A16)*(Tableau1[Type]="Accident Travail")*(Tableau1[Nbre jours concernés]))</f>
        <v>0</v>
      </c>
      <c r="R16" s="66">
        <f>SUMPRODUCT((Tableau1[Nom]=A16)*(Tableau1[Type]="Agence")*(Tableau1[Nbre jours concernés]))</f>
        <v>0</v>
      </c>
      <c r="S16" s="66">
        <f>SUMPRODUCT((Tableau1[Nom]=A16)*(Tableau1[Type]="Allotub")*(Tableau1[Nbre jours concernés]))</f>
        <v>0</v>
      </c>
      <c r="T16" s="66">
        <f>SUMPRODUCT((Tableau1[Nom]=A16)*(Tableau1[Type]="Atelier")*(Tableau1[Nbre jours concernés]))</f>
        <v>0</v>
      </c>
      <c r="U16" s="66">
        <f>SUMPRODUCT((Tableau1[Nom]=A16)*(Tableau1[Type]="Atelier / Informatique")*(Tableau1[Nbre jours concernés]))</f>
        <v>0</v>
      </c>
      <c r="V16" s="66">
        <f>SUMPRODUCT((Tableau1[Nom]=A16)*(Tableau1[Type]="Conduite")*(Tableau1[Nbre jours concernés]))</f>
        <v>0</v>
      </c>
      <c r="W16" s="66">
        <f>SUMPRODUCT((Tableau1[Nom]=A16)*(Tableau1[Type]="Congés Parental")*(Tableau1[Nbre jours concernés]))</f>
        <v>0</v>
      </c>
      <c r="X16" s="66">
        <f>SUMPRODUCT((Tableau1[Nom]=A16)*(Tableau1[Type]="Evèn.Spéciaux")*(Tableau1[Nbre jours concernés]))</f>
        <v>0</v>
      </c>
      <c r="Y16" s="66">
        <f>SUMPRODUCT((Tableau1[Nom]=A16)*(Tableau1[Type]="Informatique")*(Tableau1[Nbre jours concernés]))</f>
        <v>0</v>
      </c>
      <c r="Z16" s="66">
        <f>SUMPRODUCT((Tableau1[Nom]=A16)*(Tableau1[Type]="Jour Solidarité")*(Tableau1[Nbre jours concernés]))</f>
        <v>0</v>
      </c>
      <c r="AA16" s="66">
        <f>SUMPRODUCT((Tableau1[Nom]=A16)*(Tableau1[Type]="Maladie")*(Tableau1[Nbre jours concernés]))</f>
        <v>0</v>
      </c>
      <c r="AB16" s="66">
        <f>SUMPRODUCT((Tableau1[Nom]=A16)*(Tableau1[Type]="Récup")*(Tableau1[Nbre jours concernés]))</f>
        <v>0</v>
      </c>
      <c r="AC16" s="66">
        <f>SUMPRODUCT((Tableau1[Nom]=A16)*(Tableau1[Type]="Repos")*(Tableau1[Nbre jours concernés]))</f>
        <v>0</v>
      </c>
      <c r="AD16" s="152">
        <f>SUMPRODUCT((Tableau1[Nom]=A16)*(Tableau1[Type]="Retard")*(Tableau1[Nbre jours concernés]))</f>
        <v>0</v>
      </c>
    </row>
    <row r="17" spans="1:30" ht="17.25" thickTop="1" thickBot="1">
      <c r="A17" s="269">
        <f>LISTES!D63</f>
        <v>0</v>
      </c>
      <c r="B17" s="270"/>
      <c r="C17" s="270"/>
      <c r="D17" s="270"/>
      <c r="E17" s="270"/>
      <c r="F17" s="270"/>
      <c r="G17" s="270"/>
      <c r="H17" s="271"/>
      <c r="I17" s="62"/>
      <c r="J17" s="71"/>
      <c r="K17" s="272"/>
      <c r="L17" s="273"/>
      <c r="M17" s="273"/>
      <c r="N17" s="274"/>
      <c r="O17" s="68">
        <f>SUMPRODUCT((Tableau1[Nom]=$A$17)*(Tableau1[Type]="Congés Payés")*(Tableau1[Nbre jours concernés]))</f>
        <v>0</v>
      </c>
      <c r="P17" s="72">
        <f t="shared" si="0"/>
        <v>0</v>
      </c>
      <c r="Q17" s="68">
        <f>SUMPRODUCT((Tableau1[Nom]=A17)*(Tableau1[Type]="Accident Travail")*(Tableau1[Nbre jours concernés]))</f>
        <v>0</v>
      </c>
      <c r="R17" s="68">
        <f>SUMPRODUCT((Tableau1[Nom]=A17)*(Tableau1[Type]="Agence")*(Tableau1[Nbre jours concernés]))</f>
        <v>0</v>
      </c>
      <c r="S17" s="68">
        <f>SUMPRODUCT((Tableau1[Nom]=A17)*(Tableau1[Type]="Allotub")*(Tableau1[Nbre jours concernés]))</f>
        <v>0</v>
      </c>
      <c r="T17" s="68">
        <f>SUMPRODUCT((Tableau1[Nom]=A17)*(Tableau1[Type]="Atelier")*(Tableau1[Nbre jours concernés]))</f>
        <v>0</v>
      </c>
      <c r="U17" s="68">
        <f>SUMPRODUCT((Tableau1[Nom]=A17)*(Tableau1[Type]="Atelier / Informatique")*(Tableau1[Nbre jours concernés]))</f>
        <v>0</v>
      </c>
      <c r="V17" s="68">
        <f>SUMPRODUCT((Tableau1[Nom]=A17)*(Tableau1[Type]="Conduite")*(Tableau1[Nbre jours concernés]))</f>
        <v>0</v>
      </c>
      <c r="W17" s="68">
        <f>SUMPRODUCT((Tableau1[Nom]=A17)*(Tableau1[Type]="Congés Parental")*(Tableau1[Nbre jours concernés]))</f>
        <v>0</v>
      </c>
      <c r="X17" s="68">
        <f>SUMPRODUCT((Tableau1[Nom]=A17)*(Tableau1[Type]="Evèn.Spéciaux")*(Tableau1[Nbre jours concernés]))</f>
        <v>0</v>
      </c>
      <c r="Y17" s="68">
        <f>SUMPRODUCT((Tableau1[Nom]=A17)*(Tableau1[Type]="Informatique")*(Tableau1[Nbre jours concernés]))</f>
        <v>0</v>
      </c>
      <c r="Z17" s="68">
        <f>SUMPRODUCT((Tableau1[Nom]=A17)*(Tableau1[Type]="Jour Solidarité")*(Tableau1[Nbre jours concernés]))</f>
        <v>0</v>
      </c>
      <c r="AA17" s="68">
        <f>SUMPRODUCT((Tableau1[Nom]=A17)*(Tableau1[Type]="Maladie")*(Tableau1[Nbre jours concernés]))</f>
        <v>0</v>
      </c>
      <c r="AB17" s="68">
        <f>SUMPRODUCT((Tableau1[Nom]=A17)*(Tableau1[Type]="Récup")*(Tableau1[Nbre jours concernés]))</f>
        <v>0</v>
      </c>
      <c r="AC17" s="68">
        <f>SUMPRODUCT((Tableau1[Nom]=A17)*(Tableau1[Type]="Repos")*(Tableau1[Nbre jours concernés]))</f>
        <v>0</v>
      </c>
      <c r="AD17" s="153">
        <f>SUMPRODUCT((Tableau1[Nom]=A17)*(Tableau1[Type]="Retard")*(Tableau1[Nbre jours concernés]))</f>
        <v>0</v>
      </c>
    </row>
    <row r="18" spans="1:30" ht="17.25" thickTop="1" thickBot="1">
      <c r="A18" s="263">
        <f>LISTES!D64</f>
        <v>0</v>
      </c>
      <c r="B18" s="264"/>
      <c r="C18" s="264"/>
      <c r="D18" s="264"/>
      <c r="E18" s="264"/>
      <c r="F18" s="264"/>
      <c r="G18" s="264"/>
      <c r="H18" s="265"/>
      <c r="I18" s="63"/>
      <c r="J18" s="69"/>
      <c r="K18" s="266"/>
      <c r="L18" s="267"/>
      <c r="M18" s="267"/>
      <c r="N18" s="268"/>
      <c r="O18" s="66">
        <f>SUMPRODUCT((Tableau1[Nom]=$A$18)*(Tableau1[Type]="Congés Payés")*(Tableau1[Nbre jours concernés]))</f>
        <v>0</v>
      </c>
      <c r="P18" s="70">
        <f t="shared" si="0"/>
        <v>0</v>
      </c>
      <c r="Q18" s="66">
        <f>SUMPRODUCT((Tableau1[Nom]=A18)*(Tableau1[Type]="Accident Travail")*(Tableau1[Nbre jours concernés]))</f>
        <v>0</v>
      </c>
      <c r="R18" s="66">
        <f>SUMPRODUCT((Tableau1[Nom]=A18)*(Tableau1[Type]="Agence")*(Tableau1[Nbre jours concernés]))</f>
        <v>0</v>
      </c>
      <c r="S18" s="66">
        <f>SUMPRODUCT((Tableau1[Nom]=A18)*(Tableau1[Type]="Allotub")*(Tableau1[Nbre jours concernés]))</f>
        <v>0</v>
      </c>
      <c r="T18" s="66">
        <f>SUMPRODUCT((Tableau1[Nom]=A18)*(Tableau1[Type]="Atelier")*(Tableau1[Nbre jours concernés]))</f>
        <v>0</v>
      </c>
      <c r="U18" s="66">
        <f>SUMPRODUCT((Tableau1[Nom]=A18)*(Tableau1[Type]="Atelier / Informatique")*(Tableau1[Nbre jours concernés]))</f>
        <v>0</v>
      </c>
      <c r="V18" s="66">
        <f>SUMPRODUCT((Tableau1[Nom]=A18)*(Tableau1[Type]="Conduite")*(Tableau1[Nbre jours concernés]))</f>
        <v>0</v>
      </c>
      <c r="W18" s="66">
        <f>SUMPRODUCT((Tableau1[Nom]=A18)*(Tableau1[Type]="Congés Parental")*(Tableau1[Nbre jours concernés]))</f>
        <v>0</v>
      </c>
      <c r="X18" s="66">
        <f>SUMPRODUCT((Tableau1[Nom]=A18)*(Tableau1[Type]="Evèn.Spéciaux")*(Tableau1[Nbre jours concernés]))</f>
        <v>0</v>
      </c>
      <c r="Y18" s="66">
        <f>SUMPRODUCT((Tableau1[Nom]=A18)*(Tableau1[Type]="Informatique")*(Tableau1[Nbre jours concernés]))</f>
        <v>0</v>
      </c>
      <c r="Z18" s="66">
        <f>SUMPRODUCT((Tableau1[Nom]=A18)*(Tableau1[Type]="Jour Solidarité")*(Tableau1[Nbre jours concernés]))</f>
        <v>0</v>
      </c>
      <c r="AA18" s="66">
        <f>SUMPRODUCT((Tableau1[Nom]=A18)*(Tableau1[Type]="Maladie")*(Tableau1[Nbre jours concernés]))</f>
        <v>0</v>
      </c>
      <c r="AB18" s="66">
        <f>SUMPRODUCT((Tableau1[Nom]=A18)*(Tableau1[Type]="Récup")*(Tableau1[Nbre jours concernés]))</f>
        <v>0</v>
      </c>
      <c r="AC18" s="66">
        <f>SUMPRODUCT((Tableau1[Nom]=A18)*(Tableau1[Type]="Repos")*(Tableau1[Nbre jours concernés]))</f>
        <v>0</v>
      </c>
      <c r="AD18" s="152">
        <f>SUMPRODUCT((Tableau1[Nom]=A18)*(Tableau1[Type]="Retard")*(Tableau1[Nbre jours concernés]))</f>
        <v>0</v>
      </c>
    </row>
    <row r="19" spans="1:30" ht="17.25" thickTop="1" thickBot="1">
      <c r="A19" s="269">
        <f>LISTES!D65</f>
        <v>0</v>
      </c>
      <c r="B19" s="270"/>
      <c r="C19" s="270"/>
      <c r="D19" s="270"/>
      <c r="E19" s="270"/>
      <c r="F19" s="270"/>
      <c r="G19" s="270"/>
      <c r="H19" s="271"/>
      <c r="I19" s="62"/>
      <c r="J19" s="71"/>
      <c r="K19" s="272"/>
      <c r="L19" s="273"/>
      <c r="M19" s="273"/>
      <c r="N19" s="274"/>
      <c r="O19" s="68">
        <f>SUMPRODUCT((Tableau1[Nom]=$A$19)*(Tableau1[Type]="Congés Payés")*(Tableau1[Nbre jours concernés]))</f>
        <v>0</v>
      </c>
      <c r="P19" s="72">
        <f t="shared" si="0"/>
        <v>0</v>
      </c>
      <c r="Q19" s="68">
        <f>SUMPRODUCT((Tableau1[Nom]=A19)*(Tableau1[Type]="Accident Travail")*(Tableau1[Nbre jours concernés]))</f>
        <v>0</v>
      </c>
      <c r="R19" s="68">
        <f>SUMPRODUCT((Tableau1[Nom]=A19)*(Tableau1[Type]="Agence")*(Tableau1[Nbre jours concernés]))</f>
        <v>0</v>
      </c>
      <c r="S19" s="68">
        <f>SUMPRODUCT((Tableau1[Nom]=A19)*(Tableau1[Type]="Allotub")*(Tableau1[Nbre jours concernés]))</f>
        <v>0</v>
      </c>
      <c r="T19" s="68">
        <f>SUMPRODUCT((Tableau1[Nom]=A19)*(Tableau1[Type]="Atelier")*(Tableau1[Nbre jours concernés]))</f>
        <v>0</v>
      </c>
      <c r="U19" s="68">
        <f>SUMPRODUCT((Tableau1[Nom]=A19)*(Tableau1[Type]="Atelier / Informatique")*(Tableau1[Nbre jours concernés]))</f>
        <v>0</v>
      </c>
      <c r="V19" s="68">
        <f>SUMPRODUCT((Tableau1[Nom]=A19)*(Tableau1[Type]="Conduite")*(Tableau1[Nbre jours concernés]))</f>
        <v>0</v>
      </c>
      <c r="W19" s="68">
        <f>SUMPRODUCT((Tableau1[Nom]=A19)*(Tableau1[Type]="Congés Parental")*(Tableau1[Nbre jours concernés]))</f>
        <v>0</v>
      </c>
      <c r="X19" s="68">
        <f>SUMPRODUCT((Tableau1[Nom]=A19)*(Tableau1[Type]="Evèn.Spéciaux")*(Tableau1[Nbre jours concernés]))</f>
        <v>0</v>
      </c>
      <c r="Y19" s="68">
        <f>SUMPRODUCT((Tableau1[Nom]=A19)*(Tableau1[Type]="Informatique")*(Tableau1[Nbre jours concernés]))</f>
        <v>0</v>
      </c>
      <c r="Z19" s="68">
        <f>SUMPRODUCT((Tableau1[Nom]=A19)*(Tableau1[Type]="Jour Solidarité")*(Tableau1[Nbre jours concernés]))</f>
        <v>0</v>
      </c>
      <c r="AA19" s="68">
        <f>SUMPRODUCT((Tableau1[Nom]=A19)*(Tableau1[Type]="Maladie")*(Tableau1[Nbre jours concernés]))</f>
        <v>0</v>
      </c>
      <c r="AB19" s="68">
        <f>SUMPRODUCT((Tableau1[Nom]=A19)*(Tableau1[Type]="Récup")*(Tableau1[Nbre jours concernés]))</f>
        <v>0</v>
      </c>
      <c r="AC19" s="68">
        <f>SUMPRODUCT((Tableau1[Nom]=A19)*(Tableau1[Type]="Repos")*(Tableau1[Nbre jours concernés]))</f>
        <v>0</v>
      </c>
      <c r="AD19" s="153">
        <f>SUMPRODUCT((Tableau1[Nom]=A19)*(Tableau1[Type]="Retard")*(Tableau1[Nbre jours concernés]))</f>
        <v>0</v>
      </c>
    </row>
    <row r="20" spans="1:30" ht="17.25" thickTop="1" thickBot="1">
      <c r="A20" s="263">
        <f>LISTES!D66</f>
        <v>0</v>
      </c>
      <c r="B20" s="264"/>
      <c r="C20" s="264"/>
      <c r="D20" s="264"/>
      <c r="E20" s="264"/>
      <c r="F20" s="264"/>
      <c r="G20" s="264"/>
      <c r="H20" s="265"/>
      <c r="I20" s="63"/>
      <c r="J20" s="69"/>
      <c r="K20" s="266"/>
      <c r="L20" s="267"/>
      <c r="M20" s="267"/>
      <c r="N20" s="268"/>
      <c r="O20" s="66">
        <f>SUMPRODUCT((Tableau1[Nom]=$A$20)*(Tableau1[Type]="Congés Payés")*(Tableau1[Nbre jours concernés]))</f>
        <v>0</v>
      </c>
      <c r="P20" s="70">
        <f t="shared" si="0"/>
        <v>0</v>
      </c>
      <c r="Q20" s="66">
        <f>SUMPRODUCT((Tableau1[Nom]=A20)*(Tableau1[Type]="Accident Travail")*(Tableau1[Nbre jours concernés]))</f>
        <v>0</v>
      </c>
      <c r="R20" s="66">
        <f>SUMPRODUCT((Tableau1[Nom]=A20)*(Tableau1[Type]="Agence")*(Tableau1[Nbre jours concernés]))</f>
        <v>0</v>
      </c>
      <c r="S20" s="66">
        <f>SUMPRODUCT((Tableau1[Nom]=A20)*(Tableau1[Type]="Allotub")*(Tableau1[Nbre jours concernés]))</f>
        <v>0</v>
      </c>
      <c r="T20" s="66">
        <f>SUMPRODUCT((Tableau1[Nom]=A20)*(Tableau1[Type]="Atelier")*(Tableau1[Nbre jours concernés]))</f>
        <v>0</v>
      </c>
      <c r="U20" s="66">
        <f>SUMPRODUCT((Tableau1[Nom]=A20)*(Tableau1[Type]="Atelier / Informatique")*(Tableau1[Nbre jours concernés]))</f>
        <v>0</v>
      </c>
      <c r="V20" s="66">
        <f>SUMPRODUCT((Tableau1[Nom]=A20)*(Tableau1[Type]="Conduite")*(Tableau1[Nbre jours concernés]))</f>
        <v>0</v>
      </c>
      <c r="W20" s="66">
        <f>SUMPRODUCT((Tableau1[Nom]=A20)*(Tableau1[Type]="Congés Parental")*(Tableau1[Nbre jours concernés]))</f>
        <v>0</v>
      </c>
      <c r="X20" s="66">
        <f>SUMPRODUCT((Tableau1[Nom]=A20)*(Tableau1[Type]="Evèn.Spéciaux")*(Tableau1[Nbre jours concernés]))</f>
        <v>0</v>
      </c>
      <c r="Y20" s="66">
        <f>SUMPRODUCT((Tableau1[Nom]=A20)*(Tableau1[Type]="Informatique")*(Tableau1[Nbre jours concernés]))</f>
        <v>0</v>
      </c>
      <c r="Z20" s="66">
        <f>SUMPRODUCT((Tableau1[Nom]=A20)*(Tableau1[Type]="Jour Solidarité")*(Tableau1[Nbre jours concernés]))</f>
        <v>0</v>
      </c>
      <c r="AA20" s="66">
        <f>SUMPRODUCT((Tableau1[Nom]=A20)*(Tableau1[Type]="Maladie")*(Tableau1[Nbre jours concernés]))</f>
        <v>0</v>
      </c>
      <c r="AB20" s="66">
        <f>SUMPRODUCT((Tableau1[Nom]=A20)*(Tableau1[Type]="Récup")*(Tableau1[Nbre jours concernés]))</f>
        <v>0</v>
      </c>
      <c r="AC20" s="66">
        <f>SUMPRODUCT((Tableau1[Nom]=A20)*(Tableau1[Type]="Repos")*(Tableau1[Nbre jours concernés]))</f>
        <v>0</v>
      </c>
      <c r="AD20" s="152">
        <f>SUMPRODUCT((Tableau1[Nom]=A20)*(Tableau1[Type]="Retard")*(Tableau1[Nbre jours concernés]))</f>
        <v>0</v>
      </c>
    </row>
    <row r="21" spans="1:30" ht="17.25" thickTop="1" thickBot="1">
      <c r="A21" s="269">
        <f>LISTES!D67</f>
        <v>0</v>
      </c>
      <c r="B21" s="270"/>
      <c r="C21" s="270"/>
      <c r="D21" s="270"/>
      <c r="E21" s="270"/>
      <c r="F21" s="270"/>
      <c r="G21" s="270"/>
      <c r="H21" s="271"/>
      <c r="I21" s="62"/>
      <c r="J21" s="71"/>
      <c r="K21" s="272"/>
      <c r="L21" s="273"/>
      <c r="M21" s="273"/>
      <c r="N21" s="274"/>
      <c r="O21" s="68">
        <f>SUMPRODUCT((Tableau1[Nom]=$A$21)*(Tableau1[Type]="Congés Payés")*(Tableau1[Nbre jours concernés]))</f>
        <v>0</v>
      </c>
      <c r="P21" s="72">
        <f t="shared" si="0"/>
        <v>0</v>
      </c>
      <c r="Q21" s="68">
        <f>SUMPRODUCT((Tableau1[Nom]=A21)*(Tableau1[Type]="Accident Travail")*(Tableau1[Nbre jours concernés]))</f>
        <v>0</v>
      </c>
      <c r="R21" s="68">
        <f>SUMPRODUCT((Tableau1[Nom]=A21)*(Tableau1[Type]="Agence")*(Tableau1[Nbre jours concernés]))</f>
        <v>0</v>
      </c>
      <c r="S21" s="68">
        <f>SUMPRODUCT((Tableau1[Nom]=A21)*(Tableau1[Type]="Allotub")*(Tableau1[Nbre jours concernés]))</f>
        <v>0</v>
      </c>
      <c r="T21" s="68">
        <f>SUMPRODUCT((Tableau1[Nom]=A21)*(Tableau1[Type]="Atelier")*(Tableau1[Nbre jours concernés]))</f>
        <v>0</v>
      </c>
      <c r="U21" s="68">
        <f>SUMPRODUCT((Tableau1[Nom]=A21)*(Tableau1[Type]="Atelier / Informatique")*(Tableau1[Nbre jours concernés]))</f>
        <v>0</v>
      </c>
      <c r="V21" s="68">
        <f>SUMPRODUCT((Tableau1[Nom]=A21)*(Tableau1[Type]="Conduite")*(Tableau1[Nbre jours concernés]))</f>
        <v>0</v>
      </c>
      <c r="W21" s="68">
        <f>SUMPRODUCT((Tableau1[Nom]=A21)*(Tableau1[Type]="Congés Parental")*(Tableau1[Nbre jours concernés]))</f>
        <v>0</v>
      </c>
      <c r="X21" s="68">
        <f>SUMPRODUCT((Tableau1[Nom]=A21)*(Tableau1[Type]="Evèn.Spéciaux")*(Tableau1[Nbre jours concernés]))</f>
        <v>0</v>
      </c>
      <c r="Y21" s="68">
        <f>SUMPRODUCT((Tableau1[Nom]=A21)*(Tableau1[Type]="Informatique")*(Tableau1[Nbre jours concernés]))</f>
        <v>0</v>
      </c>
      <c r="Z21" s="68">
        <f>SUMPRODUCT((Tableau1[Nom]=A21)*(Tableau1[Type]="Jour Solidarité")*(Tableau1[Nbre jours concernés]))</f>
        <v>0</v>
      </c>
      <c r="AA21" s="68">
        <f>SUMPRODUCT((Tableau1[Nom]=A21)*(Tableau1[Type]="Maladie")*(Tableau1[Nbre jours concernés]))</f>
        <v>0</v>
      </c>
      <c r="AB21" s="68">
        <f>SUMPRODUCT((Tableau1[Nom]=A21)*(Tableau1[Type]="Récup")*(Tableau1[Nbre jours concernés]))</f>
        <v>0</v>
      </c>
      <c r="AC21" s="68">
        <f>SUMPRODUCT((Tableau1[Nom]=A21)*(Tableau1[Type]="Repos")*(Tableau1[Nbre jours concernés]))</f>
        <v>0</v>
      </c>
      <c r="AD21" s="153">
        <f>SUMPRODUCT((Tableau1[Nom]=A21)*(Tableau1[Type]="Retard")*(Tableau1[Nbre jours concernés]))</f>
        <v>0</v>
      </c>
    </row>
    <row r="22" spans="1:30" ht="17.25" thickTop="1" thickBot="1">
      <c r="A22" s="263">
        <f>LISTES!D68</f>
        <v>0</v>
      </c>
      <c r="B22" s="264"/>
      <c r="C22" s="264"/>
      <c r="D22" s="264"/>
      <c r="E22" s="264"/>
      <c r="F22" s="264"/>
      <c r="G22" s="264"/>
      <c r="H22" s="265"/>
      <c r="I22" s="63"/>
      <c r="J22" s="69"/>
      <c r="K22" s="266"/>
      <c r="L22" s="267"/>
      <c r="M22" s="267"/>
      <c r="N22" s="268"/>
      <c r="O22" s="66">
        <f>SUMPRODUCT((Tableau1[Nom]=$A$22)*(Tableau1[Type]="Congés Payés")*(Tableau1[Nbre jours concernés]))</f>
        <v>0</v>
      </c>
      <c r="P22" s="70">
        <f t="shared" si="0"/>
        <v>0</v>
      </c>
      <c r="Q22" s="66">
        <f>SUMPRODUCT((Tableau1[Nom]=A22)*(Tableau1[Type]="Accident Travail")*(Tableau1[Nbre jours concernés]))</f>
        <v>0</v>
      </c>
      <c r="R22" s="66">
        <f>SUMPRODUCT((Tableau1[Nom]=A22)*(Tableau1[Type]="Agence")*(Tableau1[Nbre jours concernés]))</f>
        <v>0</v>
      </c>
      <c r="S22" s="66">
        <f>SUMPRODUCT((Tableau1[Nom]=A22)*(Tableau1[Type]="Allotub")*(Tableau1[Nbre jours concernés]))</f>
        <v>0</v>
      </c>
      <c r="T22" s="66">
        <f>SUMPRODUCT((Tableau1[Nom]=A22)*(Tableau1[Type]="Atelier")*(Tableau1[Nbre jours concernés]))</f>
        <v>0</v>
      </c>
      <c r="U22" s="66">
        <f>SUMPRODUCT((Tableau1[Nom]=A22)*(Tableau1[Type]="Atelier / Informatique")*(Tableau1[Nbre jours concernés]))</f>
        <v>0</v>
      </c>
      <c r="V22" s="66">
        <f>SUMPRODUCT((Tableau1[Nom]=A22)*(Tableau1[Type]="Conduite")*(Tableau1[Nbre jours concernés]))</f>
        <v>0</v>
      </c>
      <c r="W22" s="66">
        <f>SUMPRODUCT((Tableau1[Nom]=A22)*(Tableau1[Type]="Congés Parental")*(Tableau1[Nbre jours concernés]))</f>
        <v>0</v>
      </c>
      <c r="X22" s="66">
        <f>SUMPRODUCT((Tableau1[Nom]=A22)*(Tableau1[Type]="Evèn.Spéciaux")*(Tableau1[Nbre jours concernés]))</f>
        <v>0</v>
      </c>
      <c r="Y22" s="66">
        <f>SUMPRODUCT((Tableau1[Nom]=A22)*(Tableau1[Type]="Informatique")*(Tableau1[Nbre jours concernés]))</f>
        <v>0</v>
      </c>
      <c r="Z22" s="66">
        <f>SUMPRODUCT((Tableau1[Nom]=A22)*(Tableau1[Type]="Jour Solidarité")*(Tableau1[Nbre jours concernés]))</f>
        <v>0</v>
      </c>
      <c r="AA22" s="66">
        <f>SUMPRODUCT((Tableau1[Nom]=A22)*(Tableau1[Type]="Maladie")*(Tableau1[Nbre jours concernés]))</f>
        <v>0</v>
      </c>
      <c r="AB22" s="66">
        <f>SUMPRODUCT((Tableau1[Nom]=A22)*(Tableau1[Type]="Récup")*(Tableau1[Nbre jours concernés]))</f>
        <v>0</v>
      </c>
      <c r="AC22" s="66">
        <f>SUMPRODUCT((Tableau1[Nom]=A22)*(Tableau1[Type]="Repos")*(Tableau1[Nbre jours concernés]))</f>
        <v>0</v>
      </c>
      <c r="AD22" s="152">
        <f>SUMPRODUCT((Tableau1[Nom]=A22)*(Tableau1[Type]="Retard")*(Tableau1[Nbre jours concernés]))</f>
        <v>0</v>
      </c>
    </row>
    <row r="23" spans="1:30" ht="17.25" thickTop="1" thickBot="1">
      <c r="A23" s="269">
        <f>LISTES!D69</f>
        <v>0</v>
      </c>
      <c r="B23" s="270"/>
      <c r="C23" s="270"/>
      <c r="D23" s="270"/>
      <c r="E23" s="270"/>
      <c r="F23" s="270"/>
      <c r="G23" s="270"/>
      <c r="H23" s="271"/>
      <c r="I23" s="62"/>
      <c r="J23" s="71"/>
      <c r="K23" s="272"/>
      <c r="L23" s="273"/>
      <c r="M23" s="273"/>
      <c r="N23" s="274"/>
      <c r="O23" s="68">
        <f>SUMPRODUCT((Tableau1[Nom]=$A$23)*(Tableau1[Type]="Congés Payés")*(Tableau1[Nbre jours concernés]))</f>
        <v>0</v>
      </c>
      <c r="P23" s="72">
        <f t="shared" si="0"/>
        <v>0</v>
      </c>
      <c r="Q23" s="68">
        <f>SUMPRODUCT((Tableau1[Nom]=A23)*(Tableau1[Type]="Accident Travail")*(Tableau1[Nbre jours concernés]))</f>
        <v>0</v>
      </c>
      <c r="R23" s="68">
        <f>SUMPRODUCT((Tableau1[Nom]=A23)*(Tableau1[Type]="Agence")*(Tableau1[Nbre jours concernés]))</f>
        <v>0</v>
      </c>
      <c r="S23" s="68">
        <f>SUMPRODUCT((Tableau1[Nom]=A23)*(Tableau1[Type]="Allotub")*(Tableau1[Nbre jours concernés]))</f>
        <v>0</v>
      </c>
      <c r="T23" s="68">
        <f>SUMPRODUCT((Tableau1[Nom]=A23)*(Tableau1[Type]="Atelier")*(Tableau1[Nbre jours concernés]))</f>
        <v>0</v>
      </c>
      <c r="U23" s="68">
        <f>SUMPRODUCT((Tableau1[Nom]=A23)*(Tableau1[Type]="Atelier / Informatique")*(Tableau1[Nbre jours concernés]))</f>
        <v>0</v>
      </c>
      <c r="V23" s="68">
        <f>SUMPRODUCT((Tableau1[Nom]=A23)*(Tableau1[Type]="Conduite")*(Tableau1[Nbre jours concernés]))</f>
        <v>0</v>
      </c>
      <c r="W23" s="68">
        <f>SUMPRODUCT((Tableau1[Nom]=A23)*(Tableau1[Type]="Congés Parental")*(Tableau1[Nbre jours concernés]))</f>
        <v>0</v>
      </c>
      <c r="X23" s="68">
        <f>SUMPRODUCT((Tableau1[Nom]=A23)*(Tableau1[Type]="Evèn.Spéciaux")*(Tableau1[Nbre jours concernés]))</f>
        <v>0</v>
      </c>
      <c r="Y23" s="68">
        <f>SUMPRODUCT((Tableau1[Nom]=A23)*(Tableau1[Type]="Informatique")*(Tableau1[Nbre jours concernés]))</f>
        <v>0</v>
      </c>
      <c r="Z23" s="68">
        <f>SUMPRODUCT((Tableau1[Nom]=A23)*(Tableau1[Type]="Jour Solidarité")*(Tableau1[Nbre jours concernés]))</f>
        <v>0</v>
      </c>
      <c r="AA23" s="68">
        <f>SUMPRODUCT((Tableau1[Nom]=A23)*(Tableau1[Type]="Maladie")*(Tableau1[Nbre jours concernés]))</f>
        <v>0</v>
      </c>
      <c r="AB23" s="68">
        <f>SUMPRODUCT((Tableau1[Nom]=A23)*(Tableau1[Type]="Récup")*(Tableau1[Nbre jours concernés]))</f>
        <v>0</v>
      </c>
      <c r="AC23" s="68">
        <f>SUMPRODUCT((Tableau1[Nom]=A23)*(Tableau1[Type]="Repos")*(Tableau1[Nbre jours concernés]))</f>
        <v>0</v>
      </c>
      <c r="AD23" s="153">
        <f>SUMPRODUCT((Tableau1[Nom]=A23)*(Tableau1[Type]="Retard")*(Tableau1[Nbre jours concernés]))</f>
        <v>0</v>
      </c>
    </row>
    <row r="24" spans="1:30" ht="17.25" thickTop="1" thickBot="1">
      <c r="A24" s="263">
        <f>LISTES!D70</f>
        <v>0</v>
      </c>
      <c r="B24" s="264"/>
      <c r="C24" s="264"/>
      <c r="D24" s="264"/>
      <c r="E24" s="264"/>
      <c r="F24" s="264"/>
      <c r="G24" s="264"/>
      <c r="H24" s="265"/>
      <c r="I24" s="63"/>
      <c r="J24" s="69"/>
      <c r="K24" s="266"/>
      <c r="L24" s="267"/>
      <c r="M24" s="267"/>
      <c r="N24" s="268"/>
      <c r="O24" s="66">
        <f>SUMPRODUCT((Tableau1[Nom]=$A$24)*(Tableau1[Type]="Congés Payés")*(Tableau1[Nbre jours concernés]))</f>
        <v>0</v>
      </c>
      <c r="P24" s="70">
        <f t="shared" si="0"/>
        <v>0</v>
      </c>
      <c r="Q24" s="66">
        <f>SUMPRODUCT((Tableau1[Nom]=A24)*(Tableau1[Type]="Accident Travail")*(Tableau1[Nbre jours concernés]))</f>
        <v>0</v>
      </c>
      <c r="R24" s="66">
        <f>SUMPRODUCT((Tableau1[Nom]=A24)*(Tableau1[Type]="Agence")*(Tableau1[Nbre jours concernés]))</f>
        <v>0</v>
      </c>
      <c r="S24" s="66">
        <f>SUMPRODUCT((Tableau1[Nom]=A24)*(Tableau1[Type]="Allotub")*(Tableau1[Nbre jours concernés]))</f>
        <v>0</v>
      </c>
      <c r="T24" s="66">
        <f>SUMPRODUCT((Tableau1[Nom]=A24)*(Tableau1[Type]="Atelier")*(Tableau1[Nbre jours concernés]))</f>
        <v>0</v>
      </c>
      <c r="U24" s="66">
        <f>SUMPRODUCT((Tableau1[Nom]=A24)*(Tableau1[Type]="Atelier / Informatique")*(Tableau1[Nbre jours concernés]))</f>
        <v>0</v>
      </c>
      <c r="V24" s="66">
        <f>SUMPRODUCT((Tableau1[Nom]=A24)*(Tableau1[Type]="Conduite")*(Tableau1[Nbre jours concernés]))</f>
        <v>0</v>
      </c>
      <c r="W24" s="66">
        <f>SUMPRODUCT((Tableau1[Nom]=A24)*(Tableau1[Type]="Congés Parental")*(Tableau1[Nbre jours concernés]))</f>
        <v>0</v>
      </c>
      <c r="X24" s="66">
        <f>SUMPRODUCT((Tableau1[Nom]=A24)*(Tableau1[Type]="Evèn.Spéciaux")*(Tableau1[Nbre jours concernés]))</f>
        <v>0</v>
      </c>
      <c r="Y24" s="66">
        <f>SUMPRODUCT((Tableau1[Nom]=A24)*(Tableau1[Type]="Informatique")*(Tableau1[Nbre jours concernés]))</f>
        <v>0</v>
      </c>
      <c r="Z24" s="66">
        <f>SUMPRODUCT((Tableau1[Nom]=A24)*(Tableau1[Type]="Jour Solidarité")*(Tableau1[Nbre jours concernés]))</f>
        <v>0</v>
      </c>
      <c r="AA24" s="66">
        <f>SUMPRODUCT((Tableau1[Nom]=A24)*(Tableau1[Type]="Maladie")*(Tableau1[Nbre jours concernés]))</f>
        <v>0</v>
      </c>
      <c r="AB24" s="66">
        <f>SUMPRODUCT((Tableau1[Nom]=A24)*(Tableau1[Type]="Récup")*(Tableau1[Nbre jours concernés]))</f>
        <v>0</v>
      </c>
      <c r="AC24" s="66">
        <f>SUMPRODUCT((Tableau1[Nom]=A24)*(Tableau1[Type]="Repos")*(Tableau1[Nbre jours concernés]))</f>
        <v>0</v>
      </c>
      <c r="AD24" s="152">
        <f>SUMPRODUCT((Tableau1[Nom]=A24)*(Tableau1[Type]="Retard")*(Tableau1[Nbre jours concernés]))</f>
        <v>0</v>
      </c>
    </row>
    <row r="25" spans="1:30" ht="17.25" thickTop="1" thickBot="1">
      <c r="A25" s="269">
        <f>LISTES!D71</f>
        <v>0</v>
      </c>
      <c r="B25" s="270"/>
      <c r="C25" s="270"/>
      <c r="D25" s="270"/>
      <c r="E25" s="270"/>
      <c r="F25" s="270"/>
      <c r="G25" s="270"/>
      <c r="H25" s="271"/>
      <c r="I25" s="62"/>
      <c r="J25" s="71"/>
      <c r="K25" s="272"/>
      <c r="L25" s="273"/>
      <c r="M25" s="273"/>
      <c r="N25" s="274"/>
      <c r="O25" s="68">
        <f>SUMPRODUCT((Tableau1[Nom]=$A$25)*(Tableau1[Type]="Congés Payés")*(Tableau1[Nbre jours concernés]))</f>
        <v>0</v>
      </c>
      <c r="P25" s="72">
        <f t="shared" si="0"/>
        <v>0</v>
      </c>
      <c r="Q25" s="68">
        <f>SUMPRODUCT((Tableau1[Nom]=A25)*(Tableau1[Type]="Accident Travail")*(Tableau1[Nbre jours concernés]))</f>
        <v>0</v>
      </c>
      <c r="R25" s="68">
        <f>SUMPRODUCT((Tableau1[Nom]=A25)*(Tableau1[Type]="Agence")*(Tableau1[Nbre jours concernés]))</f>
        <v>0</v>
      </c>
      <c r="S25" s="68">
        <f>SUMPRODUCT((Tableau1[Nom]=A25)*(Tableau1[Type]="Allotub")*(Tableau1[Nbre jours concernés]))</f>
        <v>0</v>
      </c>
      <c r="T25" s="68">
        <f>SUMPRODUCT((Tableau1[Nom]=A25)*(Tableau1[Type]="Atelier")*(Tableau1[Nbre jours concernés]))</f>
        <v>0</v>
      </c>
      <c r="U25" s="68">
        <f>SUMPRODUCT((Tableau1[Nom]=A25)*(Tableau1[Type]="Atelier / Informatique")*(Tableau1[Nbre jours concernés]))</f>
        <v>0</v>
      </c>
      <c r="V25" s="68">
        <f>SUMPRODUCT((Tableau1[Nom]=A25)*(Tableau1[Type]="Conduite")*(Tableau1[Nbre jours concernés]))</f>
        <v>0</v>
      </c>
      <c r="W25" s="68">
        <f>SUMPRODUCT((Tableau1[Nom]=A25)*(Tableau1[Type]="Congés Parental")*(Tableau1[Nbre jours concernés]))</f>
        <v>0</v>
      </c>
      <c r="X25" s="68">
        <f>SUMPRODUCT((Tableau1[Nom]=A25)*(Tableau1[Type]="Evèn.Spéciaux")*(Tableau1[Nbre jours concernés]))</f>
        <v>0</v>
      </c>
      <c r="Y25" s="68">
        <f>SUMPRODUCT((Tableau1[Nom]=A25)*(Tableau1[Type]="Informatique")*(Tableau1[Nbre jours concernés]))</f>
        <v>0</v>
      </c>
      <c r="Z25" s="68">
        <f>SUMPRODUCT((Tableau1[Nom]=A25)*(Tableau1[Type]="Jour Solidarité")*(Tableau1[Nbre jours concernés]))</f>
        <v>0</v>
      </c>
      <c r="AA25" s="68">
        <f>SUMPRODUCT((Tableau1[Nom]=A25)*(Tableau1[Type]="Maladie")*(Tableau1[Nbre jours concernés]))</f>
        <v>0</v>
      </c>
      <c r="AB25" s="68">
        <f>SUMPRODUCT((Tableau1[Nom]=A25)*(Tableau1[Type]="Récup")*(Tableau1[Nbre jours concernés]))</f>
        <v>0</v>
      </c>
      <c r="AC25" s="68">
        <f>SUMPRODUCT((Tableau1[Nom]=A25)*(Tableau1[Type]="Repos")*(Tableau1[Nbre jours concernés]))</f>
        <v>0</v>
      </c>
      <c r="AD25" s="153">
        <f>SUMPRODUCT((Tableau1[Nom]=A25)*(Tableau1[Type]="Retard")*(Tableau1[Nbre jours concernés]))</f>
        <v>0</v>
      </c>
    </row>
    <row r="26" spans="1:30" ht="17.25" thickTop="1" thickBot="1">
      <c r="A26" s="263">
        <f>LISTES!D72</f>
        <v>0</v>
      </c>
      <c r="B26" s="264"/>
      <c r="C26" s="264"/>
      <c r="D26" s="264"/>
      <c r="E26" s="264"/>
      <c r="F26" s="264"/>
      <c r="G26" s="264"/>
      <c r="H26" s="265"/>
      <c r="I26" s="63"/>
      <c r="J26" s="69"/>
      <c r="K26" s="266"/>
      <c r="L26" s="267"/>
      <c r="M26" s="267"/>
      <c r="N26" s="268"/>
      <c r="O26" s="66">
        <f>SUMPRODUCT((Tableau1[Nom]=$A$26)*(Tableau1[Type]="Congés Payés")*(Tableau1[Nbre jours concernés]))</f>
        <v>0</v>
      </c>
      <c r="P26" s="70">
        <f t="shared" si="0"/>
        <v>0</v>
      </c>
      <c r="Q26" s="66">
        <f>SUMPRODUCT((Tableau1[Nom]=A26)*(Tableau1[Type]="Accident Travail")*(Tableau1[Nbre jours concernés]))</f>
        <v>0</v>
      </c>
      <c r="R26" s="66">
        <f>SUMPRODUCT((Tableau1[Nom]=A26)*(Tableau1[Type]="Agence")*(Tableau1[Nbre jours concernés]))</f>
        <v>0</v>
      </c>
      <c r="S26" s="66">
        <f>SUMPRODUCT((Tableau1[Nom]=A26)*(Tableau1[Type]="Allotub")*(Tableau1[Nbre jours concernés]))</f>
        <v>0</v>
      </c>
      <c r="T26" s="66">
        <f>SUMPRODUCT((Tableau1[Nom]=A26)*(Tableau1[Type]="Atelier")*(Tableau1[Nbre jours concernés]))</f>
        <v>0</v>
      </c>
      <c r="U26" s="66">
        <f>SUMPRODUCT((Tableau1[Nom]=A26)*(Tableau1[Type]="Atelier / Informatique")*(Tableau1[Nbre jours concernés]))</f>
        <v>0</v>
      </c>
      <c r="V26" s="66">
        <f>SUMPRODUCT((Tableau1[Nom]=A26)*(Tableau1[Type]="Conduite")*(Tableau1[Nbre jours concernés]))</f>
        <v>0</v>
      </c>
      <c r="W26" s="66">
        <f>SUMPRODUCT((Tableau1[Nom]=A26)*(Tableau1[Type]="Congés Parental")*(Tableau1[Nbre jours concernés]))</f>
        <v>0</v>
      </c>
      <c r="X26" s="66">
        <f>SUMPRODUCT((Tableau1[Nom]=A26)*(Tableau1[Type]="Evèn.Spéciaux")*(Tableau1[Nbre jours concernés]))</f>
        <v>0</v>
      </c>
      <c r="Y26" s="66">
        <f>SUMPRODUCT((Tableau1[Nom]=A26)*(Tableau1[Type]="Informatique")*(Tableau1[Nbre jours concernés]))</f>
        <v>0</v>
      </c>
      <c r="Z26" s="66">
        <f>SUMPRODUCT((Tableau1[Nom]=A26)*(Tableau1[Type]="Jour Solidarité")*(Tableau1[Nbre jours concernés]))</f>
        <v>0</v>
      </c>
      <c r="AA26" s="66">
        <f>SUMPRODUCT((Tableau1[Nom]=A26)*(Tableau1[Type]="Maladie")*(Tableau1[Nbre jours concernés]))</f>
        <v>0</v>
      </c>
      <c r="AB26" s="66">
        <f>SUMPRODUCT((Tableau1[Nom]=A26)*(Tableau1[Type]="Récup")*(Tableau1[Nbre jours concernés]))</f>
        <v>0</v>
      </c>
      <c r="AC26" s="66">
        <f>SUMPRODUCT((Tableau1[Nom]=A26)*(Tableau1[Type]="Repos")*(Tableau1[Nbre jours concernés]))</f>
        <v>0</v>
      </c>
      <c r="AD26" s="152">
        <f>SUMPRODUCT((Tableau1[Nom]=A26)*(Tableau1[Type]="Retard")*(Tableau1[Nbre jours concernés]))</f>
        <v>0</v>
      </c>
    </row>
    <row r="27" spans="1:30" ht="17.25" thickTop="1" thickBot="1">
      <c r="A27" s="269">
        <f>LISTES!D73</f>
        <v>0</v>
      </c>
      <c r="B27" s="270"/>
      <c r="C27" s="270"/>
      <c r="D27" s="270"/>
      <c r="E27" s="270"/>
      <c r="F27" s="270"/>
      <c r="G27" s="270"/>
      <c r="H27" s="271"/>
      <c r="I27" s="62"/>
      <c r="J27" s="71"/>
      <c r="K27" s="272"/>
      <c r="L27" s="273"/>
      <c r="M27" s="273"/>
      <c r="N27" s="274"/>
      <c r="O27" s="68">
        <f>SUMPRODUCT((Tableau1[Nom]=$A$27)*(Tableau1[Type]="Congés Payés")*(Tableau1[Nbre jours concernés]))</f>
        <v>0</v>
      </c>
      <c r="P27" s="72">
        <f t="shared" si="0"/>
        <v>0</v>
      </c>
      <c r="Q27" s="68">
        <f>SUMPRODUCT((Tableau1[Nom]=A27)*(Tableau1[Type]="Accident Travail")*(Tableau1[Nbre jours concernés]))</f>
        <v>0</v>
      </c>
      <c r="R27" s="68">
        <f>SUMPRODUCT((Tableau1[Nom]=A27)*(Tableau1[Type]="Agence")*(Tableau1[Nbre jours concernés]))</f>
        <v>0</v>
      </c>
      <c r="S27" s="68">
        <f>SUMPRODUCT((Tableau1[Nom]=A27)*(Tableau1[Type]="Allotub")*(Tableau1[Nbre jours concernés]))</f>
        <v>0</v>
      </c>
      <c r="T27" s="68">
        <f>SUMPRODUCT((Tableau1[Nom]=A27)*(Tableau1[Type]="Atelier")*(Tableau1[Nbre jours concernés]))</f>
        <v>0</v>
      </c>
      <c r="U27" s="68">
        <f>SUMPRODUCT((Tableau1[Nom]=A27)*(Tableau1[Type]="Atelier / Informatique")*(Tableau1[Nbre jours concernés]))</f>
        <v>0</v>
      </c>
      <c r="V27" s="68">
        <f>SUMPRODUCT((Tableau1[Nom]=A27)*(Tableau1[Type]="Conduite")*(Tableau1[Nbre jours concernés]))</f>
        <v>0</v>
      </c>
      <c r="W27" s="68">
        <f>SUMPRODUCT((Tableau1[Nom]=A27)*(Tableau1[Type]="Congés Parental")*(Tableau1[Nbre jours concernés]))</f>
        <v>0</v>
      </c>
      <c r="X27" s="68">
        <f>SUMPRODUCT((Tableau1[Nom]=A27)*(Tableau1[Type]="Evèn.Spéciaux")*(Tableau1[Nbre jours concernés]))</f>
        <v>0</v>
      </c>
      <c r="Y27" s="68">
        <f>SUMPRODUCT((Tableau1[Nom]=A27)*(Tableau1[Type]="Informatique")*(Tableau1[Nbre jours concernés]))</f>
        <v>0</v>
      </c>
      <c r="Z27" s="68">
        <f>SUMPRODUCT((Tableau1[Nom]=A27)*(Tableau1[Type]="Jour Solidarité")*(Tableau1[Nbre jours concernés]))</f>
        <v>0</v>
      </c>
      <c r="AA27" s="68">
        <f>SUMPRODUCT((Tableau1[Nom]=A27)*(Tableau1[Type]="Maladie")*(Tableau1[Nbre jours concernés]))</f>
        <v>0</v>
      </c>
      <c r="AB27" s="68">
        <f>SUMPRODUCT((Tableau1[Nom]=A27)*(Tableau1[Type]="Récup")*(Tableau1[Nbre jours concernés]))</f>
        <v>0</v>
      </c>
      <c r="AC27" s="68">
        <f>SUMPRODUCT((Tableau1[Nom]=A27)*(Tableau1[Type]="Repos")*(Tableau1[Nbre jours concernés]))</f>
        <v>0</v>
      </c>
      <c r="AD27" s="153">
        <f>SUMPRODUCT((Tableau1[Nom]=A27)*(Tableau1[Type]="Retard")*(Tableau1[Nbre jours concernés]))</f>
        <v>0</v>
      </c>
    </row>
    <row r="28" spans="1:30" ht="17.25" thickTop="1" thickBot="1">
      <c r="A28" s="263">
        <f>LISTES!D74</f>
        <v>0</v>
      </c>
      <c r="B28" s="264"/>
      <c r="C28" s="264"/>
      <c r="D28" s="264"/>
      <c r="E28" s="264"/>
      <c r="F28" s="264"/>
      <c r="G28" s="264"/>
      <c r="H28" s="265"/>
      <c r="I28" s="63"/>
      <c r="J28" s="69"/>
      <c r="K28" s="266"/>
      <c r="L28" s="267"/>
      <c r="M28" s="267"/>
      <c r="N28" s="268"/>
      <c r="O28" s="66">
        <f>SUMPRODUCT((Tableau1[Nom]=$A$28)*(Tableau1[Type]="Congés Payés")*(Tableau1[Nbre jours concernés]))</f>
        <v>0</v>
      </c>
      <c r="P28" s="70">
        <f t="shared" si="0"/>
        <v>0</v>
      </c>
      <c r="Q28" s="66">
        <f>SUMPRODUCT((Tableau1[Nom]=A28)*(Tableau1[Type]="Accident Travail")*(Tableau1[Nbre jours concernés]))</f>
        <v>0</v>
      </c>
      <c r="R28" s="66">
        <f>SUMPRODUCT((Tableau1[Nom]=A28)*(Tableau1[Type]="Agence")*(Tableau1[Nbre jours concernés]))</f>
        <v>0</v>
      </c>
      <c r="S28" s="66">
        <f>SUMPRODUCT((Tableau1[Nom]=A28)*(Tableau1[Type]="Allotub")*(Tableau1[Nbre jours concernés]))</f>
        <v>0</v>
      </c>
      <c r="T28" s="66">
        <f>SUMPRODUCT((Tableau1[Nom]=A28)*(Tableau1[Type]="Atelier")*(Tableau1[Nbre jours concernés]))</f>
        <v>0</v>
      </c>
      <c r="U28" s="66">
        <f>SUMPRODUCT((Tableau1[Nom]=A28)*(Tableau1[Type]="Atelier / Informatique")*(Tableau1[Nbre jours concernés]))</f>
        <v>0</v>
      </c>
      <c r="V28" s="66">
        <f>SUMPRODUCT((Tableau1[Nom]=A28)*(Tableau1[Type]="Conduite")*(Tableau1[Nbre jours concernés]))</f>
        <v>0</v>
      </c>
      <c r="W28" s="66">
        <f>SUMPRODUCT((Tableau1[Nom]=A28)*(Tableau1[Type]="Congés Parental")*(Tableau1[Nbre jours concernés]))</f>
        <v>0</v>
      </c>
      <c r="X28" s="66">
        <f>SUMPRODUCT((Tableau1[Nom]=A28)*(Tableau1[Type]="Evèn.Spéciaux")*(Tableau1[Nbre jours concernés]))</f>
        <v>0</v>
      </c>
      <c r="Y28" s="66">
        <f>SUMPRODUCT((Tableau1[Nom]=A28)*(Tableau1[Type]="Informatique")*(Tableau1[Nbre jours concernés]))</f>
        <v>0</v>
      </c>
      <c r="Z28" s="66">
        <f>SUMPRODUCT((Tableau1[Nom]=A28)*(Tableau1[Type]="Jour Solidarité")*(Tableau1[Nbre jours concernés]))</f>
        <v>0</v>
      </c>
      <c r="AA28" s="66">
        <f>SUMPRODUCT((Tableau1[Nom]=A28)*(Tableau1[Type]="Maladie")*(Tableau1[Nbre jours concernés]))</f>
        <v>0</v>
      </c>
      <c r="AB28" s="66">
        <f>SUMPRODUCT((Tableau1[Nom]=A28)*(Tableau1[Type]="Récup")*(Tableau1[Nbre jours concernés]))</f>
        <v>0</v>
      </c>
      <c r="AC28" s="66">
        <f>SUMPRODUCT((Tableau1[Nom]=A28)*(Tableau1[Type]="Repos")*(Tableau1[Nbre jours concernés]))</f>
        <v>0</v>
      </c>
      <c r="AD28" s="152">
        <f>SUMPRODUCT((Tableau1[Nom]=A28)*(Tableau1[Type]="Retard")*(Tableau1[Nbre jours concernés]))</f>
        <v>0</v>
      </c>
    </row>
    <row r="29" spans="1:30" ht="17.25" thickTop="1" thickBot="1">
      <c r="A29" s="269">
        <f>LISTES!D75</f>
        <v>0</v>
      </c>
      <c r="B29" s="270"/>
      <c r="C29" s="270"/>
      <c r="D29" s="270"/>
      <c r="E29" s="270"/>
      <c r="F29" s="270"/>
      <c r="G29" s="270"/>
      <c r="H29" s="271"/>
      <c r="I29" s="62"/>
      <c r="J29" s="71"/>
      <c r="K29" s="272"/>
      <c r="L29" s="273"/>
      <c r="M29" s="273"/>
      <c r="N29" s="274"/>
      <c r="O29" s="68">
        <f>SUMPRODUCT((Tableau1[Nom]=$A$29)*(Tableau1[Type]="Congés Payés")*(Tableau1[Nbre jours concernés]))</f>
        <v>0</v>
      </c>
      <c r="P29" s="72">
        <f t="shared" si="0"/>
        <v>0</v>
      </c>
      <c r="Q29" s="68">
        <f>SUMPRODUCT((Tableau1[Nom]=A29)*(Tableau1[Type]="Accident Travail")*(Tableau1[Nbre jours concernés]))</f>
        <v>0</v>
      </c>
      <c r="R29" s="68">
        <f>SUMPRODUCT((Tableau1[Nom]=A29)*(Tableau1[Type]="Agence")*(Tableau1[Nbre jours concernés]))</f>
        <v>0</v>
      </c>
      <c r="S29" s="68">
        <f>SUMPRODUCT((Tableau1[Nom]=A29)*(Tableau1[Type]="Allotub")*(Tableau1[Nbre jours concernés]))</f>
        <v>0</v>
      </c>
      <c r="T29" s="68">
        <f>SUMPRODUCT((Tableau1[Nom]=A29)*(Tableau1[Type]="Atelier")*(Tableau1[Nbre jours concernés]))</f>
        <v>0</v>
      </c>
      <c r="U29" s="68">
        <f>SUMPRODUCT((Tableau1[Nom]=A29)*(Tableau1[Type]="Atelier / Informatique")*(Tableau1[Nbre jours concernés]))</f>
        <v>0</v>
      </c>
      <c r="V29" s="68">
        <f>SUMPRODUCT((Tableau1[Nom]=A29)*(Tableau1[Type]="Conduite")*(Tableau1[Nbre jours concernés]))</f>
        <v>0</v>
      </c>
      <c r="W29" s="68">
        <f>SUMPRODUCT((Tableau1[Nom]=A29)*(Tableau1[Type]="Congés Parental")*(Tableau1[Nbre jours concernés]))</f>
        <v>0</v>
      </c>
      <c r="X29" s="68">
        <f>SUMPRODUCT((Tableau1[Nom]=A29)*(Tableau1[Type]="Evèn.Spéciaux")*(Tableau1[Nbre jours concernés]))</f>
        <v>0</v>
      </c>
      <c r="Y29" s="68">
        <f>SUMPRODUCT((Tableau1[Nom]=A29)*(Tableau1[Type]="Informatique")*(Tableau1[Nbre jours concernés]))</f>
        <v>0</v>
      </c>
      <c r="Z29" s="68">
        <f>SUMPRODUCT((Tableau1[Nom]=A29)*(Tableau1[Type]="Jour Solidarité")*(Tableau1[Nbre jours concernés]))</f>
        <v>0</v>
      </c>
      <c r="AA29" s="68">
        <f>SUMPRODUCT((Tableau1[Nom]=A29)*(Tableau1[Type]="Maladie")*(Tableau1[Nbre jours concernés]))</f>
        <v>0</v>
      </c>
      <c r="AB29" s="68">
        <f>SUMPRODUCT((Tableau1[Nom]=A29)*(Tableau1[Type]="Récup")*(Tableau1[Nbre jours concernés]))</f>
        <v>0</v>
      </c>
      <c r="AC29" s="68">
        <f>SUMPRODUCT((Tableau1[Nom]=A29)*(Tableau1[Type]="Repos")*(Tableau1[Nbre jours concernés]))</f>
        <v>0</v>
      </c>
      <c r="AD29" s="153">
        <f>SUMPRODUCT((Tableau1[Nom]=A29)*(Tableau1[Type]="Retard")*(Tableau1[Nbre jours concernés]))</f>
        <v>0</v>
      </c>
    </row>
    <row r="30" spans="1:30" ht="17.25" thickTop="1" thickBot="1">
      <c r="A30" s="263">
        <f>LISTES!D76</f>
        <v>0</v>
      </c>
      <c r="B30" s="264"/>
      <c r="C30" s="264"/>
      <c r="D30" s="264"/>
      <c r="E30" s="264"/>
      <c r="F30" s="264"/>
      <c r="G30" s="264"/>
      <c r="H30" s="265"/>
      <c r="I30" s="63"/>
      <c r="J30" s="69"/>
      <c r="K30" s="266"/>
      <c r="L30" s="267"/>
      <c r="M30" s="267"/>
      <c r="N30" s="268"/>
      <c r="O30" s="66">
        <f>SUMPRODUCT((Tableau1[Nom]=$A$30)*(Tableau1[Type]="Congés Payés")*(Tableau1[Nbre jours concernés]))</f>
        <v>0</v>
      </c>
      <c r="P30" s="70">
        <f t="shared" si="0"/>
        <v>0</v>
      </c>
      <c r="Q30" s="66">
        <f>SUMPRODUCT((Tableau1[Nom]=A30)*(Tableau1[Type]="Accident Travail")*(Tableau1[Nbre jours concernés]))</f>
        <v>0</v>
      </c>
      <c r="R30" s="66">
        <f>SUMPRODUCT((Tableau1[Nom]=A30)*(Tableau1[Type]="Agence")*(Tableau1[Nbre jours concernés]))</f>
        <v>0</v>
      </c>
      <c r="S30" s="66">
        <f>SUMPRODUCT((Tableau1[Nom]=A30)*(Tableau1[Type]="Allotub")*(Tableau1[Nbre jours concernés]))</f>
        <v>0</v>
      </c>
      <c r="T30" s="66">
        <f>SUMPRODUCT((Tableau1[Nom]=A30)*(Tableau1[Type]="Atelier")*(Tableau1[Nbre jours concernés]))</f>
        <v>0</v>
      </c>
      <c r="U30" s="66">
        <f>SUMPRODUCT((Tableau1[Nom]=A30)*(Tableau1[Type]="Atelier / Informatique")*(Tableau1[Nbre jours concernés]))</f>
        <v>0</v>
      </c>
      <c r="V30" s="66">
        <f>SUMPRODUCT((Tableau1[Nom]=A30)*(Tableau1[Type]="Conduite")*(Tableau1[Nbre jours concernés]))</f>
        <v>0</v>
      </c>
      <c r="W30" s="66">
        <f>SUMPRODUCT((Tableau1[Nom]=A30)*(Tableau1[Type]="Congés Parental")*(Tableau1[Nbre jours concernés]))</f>
        <v>0</v>
      </c>
      <c r="X30" s="66">
        <f>SUMPRODUCT((Tableau1[Nom]=A30)*(Tableau1[Type]="Evèn.Spéciaux")*(Tableau1[Nbre jours concernés]))</f>
        <v>0</v>
      </c>
      <c r="Y30" s="66">
        <f>SUMPRODUCT((Tableau1[Nom]=A30)*(Tableau1[Type]="Informatique")*(Tableau1[Nbre jours concernés]))</f>
        <v>0</v>
      </c>
      <c r="Z30" s="66">
        <f>SUMPRODUCT((Tableau1[Nom]=A30)*(Tableau1[Type]="Jour Solidarité")*(Tableau1[Nbre jours concernés]))</f>
        <v>0</v>
      </c>
      <c r="AA30" s="66">
        <f>SUMPRODUCT((Tableau1[Nom]=A30)*(Tableau1[Type]="Maladie")*(Tableau1[Nbre jours concernés]))</f>
        <v>0</v>
      </c>
      <c r="AB30" s="66">
        <f>SUMPRODUCT((Tableau1[Nom]=A30)*(Tableau1[Type]="Récup")*(Tableau1[Nbre jours concernés]))</f>
        <v>0</v>
      </c>
      <c r="AC30" s="66">
        <f>SUMPRODUCT((Tableau1[Nom]=A30)*(Tableau1[Type]="Repos")*(Tableau1[Nbre jours concernés]))</f>
        <v>0</v>
      </c>
      <c r="AD30" s="152">
        <f>SUMPRODUCT((Tableau1[Nom]=A30)*(Tableau1[Type]="Retard")*(Tableau1[Nbre jours concernés]))</f>
        <v>0</v>
      </c>
    </row>
    <row r="31" spans="1:30" ht="17.25" thickTop="1" thickBot="1">
      <c r="A31" s="269"/>
      <c r="B31" s="270"/>
      <c r="C31" s="270"/>
      <c r="D31" s="270"/>
      <c r="E31" s="270"/>
      <c r="F31" s="270"/>
      <c r="G31" s="270"/>
      <c r="H31" s="271"/>
      <c r="I31" s="62"/>
      <c r="J31" s="71"/>
      <c r="K31" s="272"/>
      <c r="L31" s="273"/>
      <c r="M31" s="273"/>
      <c r="N31" s="274"/>
      <c r="O31" s="68">
        <f>SUMPRODUCT((Tableau1[Nom]=$A$31)*(Tableau1[Type]="Congés Payés")*(Tableau1[Nbre jours concernés]))</f>
        <v>0</v>
      </c>
      <c r="P31" s="72">
        <f t="shared" si="0"/>
        <v>0</v>
      </c>
      <c r="Q31" s="68">
        <f>SUMPRODUCT((Tableau1[Nom]=A31)*(Tableau1[Type]="Accident Travail")*(Tableau1[Nbre jours concernés]))</f>
        <v>0</v>
      </c>
      <c r="R31" s="68">
        <f>SUMPRODUCT((Tableau1[Nom]=A31)*(Tableau1[Type]="Agence")*(Tableau1[Nbre jours concernés]))</f>
        <v>0</v>
      </c>
      <c r="S31" s="68">
        <f>SUMPRODUCT((Tableau1[Nom]=A31)*(Tableau1[Type]="Allotub")*(Tableau1[Nbre jours concernés]))</f>
        <v>0</v>
      </c>
      <c r="T31" s="68">
        <f>SUMPRODUCT((Tableau1[Nom]=A31)*(Tableau1[Type]="Atelier")*(Tableau1[Nbre jours concernés]))</f>
        <v>0</v>
      </c>
      <c r="U31" s="68">
        <f>SUMPRODUCT((Tableau1[Nom]=A31)*(Tableau1[Type]="Atelier / Informatique")*(Tableau1[Nbre jours concernés]))</f>
        <v>0</v>
      </c>
      <c r="V31" s="68">
        <f>SUMPRODUCT((Tableau1[Nom]=A31)*(Tableau1[Type]="Conduite")*(Tableau1[Nbre jours concernés]))</f>
        <v>0</v>
      </c>
      <c r="W31" s="68">
        <f>SUMPRODUCT((Tableau1[Nom]=A31)*(Tableau1[Type]="Congés Parental")*(Tableau1[Nbre jours concernés]))</f>
        <v>0</v>
      </c>
      <c r="X31" s="68">
        <f>SUMPRODUCT((Tableau1[Nom]=A31)*(Tableau1[Type]="Evèn.Spéciaux")*(Tableau1[Nbre jours concernés]))</f>
        <v>0</v>
      </c>
      <c r="Y31" s="68">
        <f>SUMPRODUCT((Tableau1[Nom]=A31)*(Tableau1[Type]="Informatique")*(Tableau1[Nbre jours concernés]))</f>
        <v>0</v>
      </c>
      <c r="Z31" s="68">
        <f>SUMPRODUCT((Tableau1[Nom]=A31)*(Tableau1[Type]="Jour Solidarité")*(Tableau1[Nbre jours concernés]))</f>
        <v>0</v>
      </c>
      <c r="AA31" s="68">
        <f>SUMPRODUCT((Tableau1[Nom]=A31)*(Tableau1[Type]="Maladie")*(Tableau1[Nbre jours concernés]))</f>
        <v>0</v>
      </c>
      <c r="AB31" s="68">
        <f>SUMPRODUCT((Tableau1[Nom]=A31)*(Tableau1[Type]="Récup")*(Tableau1[Nbre jours concernés]))</f>
        <v>0</v>
      </c>
      <c r="AC31" s="68">
        <f>SUMPRODUCT((Tableau1[Nom]=A31)*(Tableau1[Type]="Repos")*(Tableau1[Nbre jours concernés]))</f>
        <v>0</v>
      </c>
      <c r="AD31" s="153">
        <f>SUMPRODUCT((Tableau1[Nom]=A31)*(Tableau1[Type]="Retard")*(Tableau1[Nbre jours concernés]))</f>
        <v>0</v>
      </c>
    </row>
    <row r="32" spans="1:30" ht="17.25" thickTop="1" thickBot="1">
      <c r="A32" s="263"/>
      <c r="B32" s="264"/>
      <c r="C32" s="264"/>
      <c r="D32" s="264"/>
      <c r="E32" s="264"/>
      <c r="F32" s="264"/>
      <c r="G32" s="264"/>
      <c r="H32" s="265"/>
      <c r="I32" s="63"/>
      <c r="J32" s="69"/>
      <c r="K32" s="266"/>
      <c r="L32" s="267"/>
      <c r="M32" s="267"/>
      <c r="N32" s="268"/>
      <c r="O32" s="66">
        <f>SUMPRODUCT((Tableau1[Nom]=$A$32)*(Tableau1[Type]="Congés Payés")*(Tableau1[Nbre jours concernés]))</f>
        <v>0</v>
      </c>
      <c r="P32" s="70">
        <f t="shared" si="0"/>
        <v>0</v>
      </c>
      <c r="Q32" s="66">
        <f>SUMPRODUCT((Tableau1[Nom]=A32)*(Tableau1[Type]="Accident Travail")*(Tableau1[Nbre jours concernés]))</f>
        <v>0</v>
      </c>
      <c r="R32" s="66">
        <f>SUMPRODUCT((Tableau1[Nom]=A32)*(Tableau1[Type]="Agence")*(Tableau1[Nbre jours concernés]))</f>
        <v>0</v>
      </c>
      <c r="S32" s="66">
        <f>SUMPRODUCT((Tableau1[Nom]=A32)*(Tableau1[Type]="Allotub")*(Tableau1[Nbre jours concernés]))</f>
        <v>0</v>
      </c>
      <c r="T32" s="66">
        <f>SUMPRODUCT((Tableau1[Nom]=A32)*(Tableau1[Type]="Atelier")*(Tableau1[Nbre jours concernés]))</f>
        <v>0</v>
      </c>
      <c r="U32" s="66">
        <f>SUMPRODUCT((Tableau1[Nom]=A32)*(Tableau1[Type]="Atelier / Informatique")*(Tableau1[Nbre jours concernés]))</f>
        <v>0</v>
      </c>
      <c r="V32" s="66">
        <f>SUMPRODUCT((Tableau1[Nom]=A32)*(Tableau1[Type]="Conduite")*(Tableau1[Nbre jours concernés]))</f>
        <v>0</v>
      </c>
      <c r="W32" s="66">
        <f>SUMPRODUCT((Tableau1[Nom]=A32)*(Tableau1[Type]="Congés Parental")*(Tableau1[Nbre jours concernés]))</f>
        <v>0</v>
      </c>
      <c r="X32" s="66">
        <f>SUMPRODUCT((Tableau1[Nom]=A32)*(Tableau1[Type]="Evèn.Spéciaux")*(Tableau1[Nbre jours concernés]))</f>
        <v>0</v>
      </c>
      <c r="Y32" s="66">
        <f>SUMPRODUCT((Tableau1[Nom]=A32)*(Tableau1[Type]="Informatique")*(Tableau1[Nbre jours concernés]))</f>
        <v>0</v>
      </c>
      <c r="Z32" s="66">
        <f>SUMPRODUCT((Tableau1[Nom]=A32)*(Tableau1[Type]="Jour Solidarité")*(Tableau1[Nbre jours concernés]))</f>
        <v>0</v>
      </c>
      <c r="AA32" s="66">
        <f>SUMPRODUCT((Tableau1[Nom]=A32)*(Tableau1[Type]="Maladie")*(Tableau1[Nbre jours concernés]))</f>
        <v>0</v>
      </c>
      <c r="AB32" s="66">
        <f>SUMPRODUCT((Tableau1[Nom]=A32)*(Tableau1[Type]="Récup")*(Tableau1[Nbre jours concernés]))</f>
        <v>0</v>
      </c>
      <c r="AC32" s="66">
        <f>SUMPRODUCT((Tableau1[Nom]=A32)*(Tableau1[Type]="Repos")*(Tableau1[Nbre jours concernés]))</f>
        <v>0</v>
      </c>
      <c r="AD32" s="152">
        <f>SUMPRODUCT((Tableau1[Nom]=A32)*(Tableau1[Type]="Retard")*(Tableau1[Nbre jours concernés]))</f>
        <v>0</v>
      </c>
    </row>
    <row r="33" ht="15.75" thickTop="1"/>
  </sheetData>
  <mergeCells count="53">
    <mergeCell ref="A2:P4"/>
    <mergeCell ref="A32:H32"/>
    <mergeCell ref="K32:N32"/>
    <mergeCell ref="A31:H31"/>
    <mergeCell ref="K31:N31"/>
    <mergeCell ref="A30:H30"/>
    <mergeCell ref="K30:N30"/>
    <mergeCell ref="A28:H28"/>
    <mergeCell ref="K28:N28"/>
    <mergeCell ref="A29:H29"/>
    <mergeCell ref="K29:N29"/>
    <mergeCell ref="A27:H27"/>
    <mergeCell ref="K27:N27"/>
    <mergeCell ref="A26:H26"/>
    <mergeCell ref="K26:N26"/>
    <mergeCell ref="A25:H25"/>
    <mergeCell ref="K25:N25"/>
    <mergeCell ref="A24:H24"/>
    <mergeCell ref="K24:N24"/>
    <mergeCell ref="A23:H23"/>
    <mergeCell ref="K23:N23"/>
    <mergeCell ref="A22:H22"/>
    <mergeCell ref="K22:N22"/>
    <mergeCell ref="A21:H21"/>
    <mergeCell ref="K21:N21"/>
    <mergeCell ref="A20:H20"/>
    <mergeCell ref="K20:N20"/>
    <mergeCell ref="A19:H19"/>
    <mergeCell ref="K19:N19"/>
    <mergeCell ref="A18:H18"/>
    <mergeCell ref="K18:N18"/>
    <mergeCell ref="A17:H17"/>
    <mergeCell ref="K17:N17"/>
    <mergeCell ref="A16:H16"/>
    <mergeCell ref="K16:N16"/>
    <mergeCell ref="A15:H15"/>
    <mergeCell ref="K15:N15"/>
    <mergeCell ref="A14:H14"/>
    <mergeCell ref="K14:N14"/>
    <mergeCell ref="A13:H13"/>
    <mergeCell ref="K13:N13"/>
    <mergeCell ref="A12:H12"/>
    <mergeCell ref="K12:N12"/>
    <mergeCell ref="A11:H11"/>
    <mergeCell ref="K11:N11"/>
    <mergeCell ref="A7:H7"/>
    <mergeCell ref="K7:N7"/>
    <mergeCell ref="A10:H10"/>
    <mergeCell ref="K10:N10"/>
    <mergeCell ref="A8:H8"/>
    <mergeCell ref="A9:H9"/>
    <mergeCell ref="K9:N9"/>
    <mergeCell ref="K8:N8"/>
  </mergeCells>
  <conditionalFormatting sqref="A8:AD32">
    <cfRule type="cellIs" dxfId="13" priority="4" operator="notEqual">
      <formula>0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LISTES!$D$2:$D$17</xm:f>
          </x14:formula1>
          <xm:sqref>A8:H32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</vt:i4>
      </vt:variant>
    </vt:vector>
  </HeadingPairs>
  <TitlesOfParts>
    <vt:vector size="27" baseType="lpstr">
      <vt:lpstr>CALENDRIER</vt:lpstr>
      <vt:lpstr>PLANNING</vt:lpstr>
      <vt:lpstr>SUIVI AGENTS</vt:lpstr>
      <vt:lpstr>FIT 2020 06 22</vt:lpstr>
      <vt:lpstr>LISTES</vt:lpstr>
      <vt:lpstr>FIT 2020 06 23</vt:lpstr>
      <vt:lpstr>FIT 2020 06 24</vt:lpstr>
      <vt:lpstr>FIT 2020 06 25</vt:lpstr>
      <vt:lpstr>FIT 2020 06 26</vt:lpstr>
      <vt:lpstr>FIT 2020 06 27</vt:lpstr>
      <vt:lpstr>FIT 2020 06 29</vt:lpstr>
      <vt:lpstr>FIT 2020 06 30</vt:lpstr>
      <vt:lpstr>FIT 2020 07 01</vt:lpstr>
      <vt:lpstr>FIT 2020 07 02</vt:lpstr>
      <vt:lpstr>FIT 2020 07 03</vt:lpstr>
      <vt:lpstr>FIT 2020 07 04</vt:lpstr>
      <vt:lpstr>RECAP</vt:lpstr>
      <vt:lpstr>An_ref</vt:lpstr>
      <vt:lpstr>Heure</vt:lpstr>
      <vt:lpstr>Horaire</vt:lpstr>
      <vt:lpstr>Mois</vt:lpstr>
      <vt:lpstr>Motif</vt:lpstr>
      <vt:lpstr>NomPrenom</vt:lpstr>
      <vt:lpstr>Service</vt:lpstr>
      <vt:lpstr>TABHEURES</vt:lpstr>
      <vt:lpstr>Travail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RIOU</dc:creator>
  <cp:lastModifiedBy>CA</cp:lastModifiedBy>
  <cp:lastPrinted>2020-06-18T15:21:14Z</cp:lastPrinted>
  <dcterms:created xsi:type="dcterms:W3CDTF">2018-11-30T12:55:38Z</dcterms:created>
  <dcterms:modified xsi:type="dcterms:W3CDTF">2020-06-29T09:53:03Z</dcterms:modified>
</cp:coreProperties>
</file>