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sfintl-my.sharepoint.com/personal/gregory_boisset_geneva_msf_org1/Documents/FMR/"/>
    </mc:Choice>
  </mc:AlternateContent>
  <xr:revisionPtr revIDLastSave="25" documentId="8_{B6D51A2F-99DE-443C-B666-5382A56172BC}" xr6:coauthVersionLast="44" xr6:coauthVersionMax="47" xr10:uidLastSave="{3575F526-2E64-4DFD-AE0F-08D61614EF03}"/>
  <bookViews>
    <workbookView xWindow="-120" yWindow="-120" windowWidth="24240" windowHeight="13140" activeTab="5" xr2:uid="{0051C993-7BCA-4F33-8B3C-F2DD1762E9AE}"/>
  </bookViews>
  <sheets>
    <sheet name="Départs" sheetId="1" r:id="rId1"/>
    <sheet name="Répartition" sheetId="6" r:id="rId2"/>
    <sheet name="Retours" sheetId="2" state="hidden" r:id="rId3"/>
    <sheet name="Historique coef" sheetId="7" state="hidden" r:id="rId4"/>
    <sheet name="Coefs" sheetId="4" r:id="rId5"/>
    <sheet name="Indice de charge" sheetId="5" r:id="rId6"/>
  </sheets>
  <externalReferences>
    <externalReference r:id="rId7"/>
  </externalReferences>
  <definedNames>
    <definedName name="_xlnm._FilterDatabase" localSheetId="4" hidden="1">Coefs!$A$4:$Q$4</definedName>
    <definedName name="_xlcn.WorksheetConnection_FollowupFMRCamino.xlsxGT1" hidden="1">[1]!GT</definedName>
    <definedName name="_xlcn.WorksheetConnection_FollowupFMRCamino.xlsxMX1" hidden="1">[1]!MX</definedName>
    <definedName name="Répartition">Table6[#All]</definedName>
    <definedName name="Totrépartition">'Indice de charge'!$B$38:$R$42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GT" name="GT" connection="WorksheetConnection_Follow-up FMR - Camino.xlsx!GT"/>
          <x15:modelTable id="MX" name="MX" connection="WorksheetConnection_Follow-up FMR - Camino.xlsx!MX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4" i="7" l="1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" i="7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" i="6"/>
  <c r="A4" i="6"/>
  <c r="A5" i="6"/>
  <c r="A6" i="6"/>
  <c r="A7" i="6"/>
  <c r="A2" i="6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5" i="5"/>
  <c r="C6" i="5" l="1"/>
  <c r="C7" i="5"/>
  <c r="B5" i="5"/>
  <c r="C5" i="5"/>
  <c r="C30" i="5"/>
  <c r="G30" i="5"/>
  <c r="K30" i="5"/>
  <c r="O30" i="5"/>
  <c r="D30" i="5"/>
  <c r="H30" i="5"/>
  <c r="L30" i="5"/>
  <c r="P30" i="5"/>
  <c r="J30" i="5"/>
  <c r="R30" i="5"/>
  <c r="F30" i="5"/>
  <c r="Q30" i="5"/>
  <c r="E30" i="5"/>
  <c r="M30" i="5"/>
  <c r="N30" i="5"/>
  <c r="I30" i="5"/>
  <c r="C22" i="5"/>
  <c r="G22" i="5"/>
  <c r="K22" i="5"/>
  <c r="O22" i="5"/>
  <c r="H22" i="5"/>
  <c r="M22" i="5"/>
  <c r="R22" i="5"/>
  <c r="D22" i="5"/>
  <c r="I22" i="5"/>
  <c r="N22" i="5"/>
  <c r="F22" i="5"/>
  <c r="Q22" i="5"/>
  <c r="P22" i="5"/>
  <c r="J22" i="5"/>
  <c r="L22" i="5"/>
  <c r="E22" i="5"/>
  <c r="C18" i="5"/>
  <c r="G18" i="5"/>
  <c r="K18" i="5"/>
  <c r="O18" i="5"/>
  <c r="D18" i="5"/>
  <c r="H18" i="5"/>
  <c r="L18" i="5"/>
  <c r="P18" i="5"/>
  <c r="E18" i="5"/>
  <c r="M18" i="5"/>
  <c r="F18" i="5"/>
  <c r="N18" i="5"/>
  <c r="J18" i="5"/>
  <c r="Q18" i="5"/>
  <c r="R18" i="5"/>
  <c r="I18" i="5"/>
  <c r="C14" i="5"/>
  <c r="G14" i="5"/>
  <c r="K14" i="5"/>
  <c r="O14" i="5"/>
  <c r="D14" i="5"/>
  <c r="H14" i="5"/>
  <c r="L14" i="5"/>
  <c r="P14" i="5"/>
  <c r="E14" i="5"/>
  <c r="M14" i="5"/>
  <c r="F14" i="5"/>
  <c r="N14" i="5"/>
  <c r="J14" i="5"/>
  <c r="R14" i="5"/>
  <c r="Q14" i="5"/>
  <c r="I14" i="5"/>
  <c r="C10" i="5"/>
  <c r="G10" i="5"/>
  <c r="K10" i="5"/>
  <c r="O10" i="5"/>
  <c r="D10" i="5"/>
  <c r="H10" i="5"/>
  <c r="L10" i="5"/>
  <c r="P10" i="5"/>
  <c r="E10" i="5"/>
  <c r="M10" i="5"/>
  <c r="Q10" i="5"/>
  <c r="F10" i="5"/>
  <c r="N10" i="5"/>
  <c r="I10" i="5"/>
  <c r="R10" i="5"/>
  <c r="J10" i="5"/>
  <c r="G6" i="5"/>
  <c r="K6" i="5"/>
  <c r="O6" i="5"/>
  <c r="D6" i="5"/>
  <c r="H6" i="5"/>
  <c r="L6" i="5"/>
  <c r="P6" i="5"/>
  <c r="E6" i="5"/>
  <c r="M6" i="5"/>
  <c r="I6" i="5"/>
  <c r="F6" i="5"/>
  <c r="N6" i="5"/>
  <c r="Q6" i="5"/>
  <c r="J6" i="5"/>
  <c r="R6" i="5"/>
  <c r="C33" i="5"/>
  <c r="G33" i="5"/>
  <c r="K33" i="5"/>
  <c r="O33" i="5"/>
  <c r="D33" i="5"/>
  <c r="H33" i="5"/>
  <c r="L33" i="5"/>
  <c r="P33" i="5"/>
  <c r="J33" i="5"/>
  <c r="R33" i="5"/>
  <c r="M33" i="5"/>
  <c r="F33" i="5"/>
  <c r="Q33" i="5"/>
  <c r="E33" i="5"/>
  <c r="N33" i="5"/>
  <c r="I33" i="5"/>
  <c r="C29" i="5"/>
  <c r="G29" i="5"/>
  <c r="K29" i="5"/>
  <c r="O29" i="5"/>
  <c r="D29" i="5"/>
  <c r="H29" i="5"/>
  <c r="L29" i="5"/>
  <c r="P29" i="5"/>
  <c r="J29" i="5"/>
  <c r="R29" i="5"/>
  <c r="F29" i="5"/>
  <c r="I29" i="5"/>
  <c r="E29" i="5"/>
  <c r="M29" i="5"/>
  <c r="N29" i="5"/>
  <c r="Q29" i="5"/>
  <c r="C25" i="5"/>
  <c r="G25" i="5"/>
  <c r="K25" i="5"/>
  <c r="O25" i="5"/>
  <c r="H25" i="5"/>
  <c r="M25" i="5"/>
  <c r="R25" i="5"/>
  <c r="D25" i="5"/>
  <c r="I25" i="5"/>
  <c r="N25" i="5"/>
  <c r="L25" i="5"/>
  <c r="Q25" i="5"/>
  <c r="J25" i="5"/>
  <c r="E25" i="5"/>
  <c r="P25" i="5"/>
  <c r="F25" i="5"/>
  <c r="C21" i="5"/>
  <c r="G21" i="5"/>
  <c r="K21" i="5"/>
  <c r="O21" i="5"/>
  <c r="D21" i="5"/>
  <c r="H21" i="5"/>
  <c r="L21" i="5"/>
  <c r="E21" i="5"/>
  <c r="M21" i="5"/>
  <c r="R21" i="5"/>
  <c r="F21" i="5"/>
  <c r="N21" i="5"/>
  <c r="J21" i="5"/>
  <c r="Q21" i="5"/>
  <c r="I21" i="5"/>
  <c r="P21" i="5"/>
  <c r="C17" i="5"/>
  <c r="G17" i="5"/>
  <c r="K17" i="5"/>
  <c r="O17" i="5"/>
  <c r="D17" i="5"/>
  <c r="H17" i="5"/>
  <c r="L17" i="5"/>
  <c r="P17" i="5"/>
  <c r="E17" i="5"/>
  <c r="M17" i="5"/>
  <c r="F17" i="5"/>
  <c r="N17" i="5"/>
  <c r="J17" i="5"/>
  <c r="R17" i="5"/>
  <c r="I17" i="5"/>
  <c r="Q17" i="5"/>
  <c r="C13" i="5"/>
  <c r="G13" i="5"/>
  <c r="K13" i="5"/>
  <c r="O13" i="5"/>
  <c r="D13" i="5"/>
  <c r="H13" i="5"/>
  <c r="L13" i="5"/>
  <c r="P13" i="5"/>
  <c r="E13" i="5"/>
  <c r="M13" i="5"/>
  <c r="F13" i="5"/>
  <c r="N13" i="5"/>
  <c r="J13" i="5"/>
  <c r="I13" i="5"/>
  <c r="Q13" i="5"/>
  <c r="R13" i="5"/>
  <c r="C9" i="5"/>
  <c r="G9" i="5"/>
  <c r="K9" i="5"/>
  <c r="O9" i="5"/>
  <c r="D9" i="5"/>
  <c r="H9" i="5"/>
  <c r="L9" i="5"/>
  <c r="P9" i="5"/>
  <c r="E9" i="5"/>
  <c r="M9" i="5"/>
  <c r="Q9" i="5"/>
  <c r="F9" i="5"/>
  <c r="N9" i="5"/>
  <c r="I9" i="5"/>
  <c r="J9" i="5"/>
  <c r="R9" i="5"/>
  <c r="C8" i="5"/>
  <c r="G8" i="5"/>
  <c r="K8" i="5"/>
  <c r="O8" i="5"/>
  <c r="D8" i="5"/>
  <c r="H8" i="5"/>
  <c r="L8" i="5"/>
  <c r="P8" i="5"/>
  <c r="E8" i="5"/>
  <c r="M8" i="5"/>
  <c r="Q8" i="5"/>
  <c r="F8" i="5"/>
  <c r="N8" i="5"/>
  <c r="I8" i="5"/>
  <c r="J8" i="5"/>
  <c r="R8" i="5"/>
  <c r="C34" i="5"/>
  <c r="G34" i="5"/>
  <c r="K34" i="5"/>
  <c r="O34" i="5"/>
  <c r="D34" i="5"/>
  <c r="H34" i="5"/>
  <c r="L34" i="5"/>
  <c r="P34" i="5"/>
  <c r="J34" i="5"/>
  <c r="R34" i="5"/>
  <c r="M34" i="5"/>
  <c r="F34" i="5"/>
  <c r="Q34" i="5"/>
  <c r="E34" i="5"/>
  <c r="N34" i="5"/>
  <c r="I34" i="5"/>
  <c r="C26" i="5"/>
  <c r="G26" i="5"/>
  <c r="K26" i="5"/>
  <c r="O26" i="5"/>
  <c r="H26" i="5"/>
  <c r="M26" i="5"/>
  <c r="R26" i="5"/>
  <c r="D26" i="5"/>
  <c r="I26" i="5"/>
  <c r="N26" i="5"/>
  <c r="F26" i="5"/>
  <c r="Q26" i="5"/>
  <c r="P26" i="5"/>
  <c r="J26" i="5"/>
  <c r="L26" i="5"/>
  <c r="E26" i="5"/>
  <c r="C32" i="5"/>
  <c r="G32" i="5"/>
  <c r="K32" i="5"/>
  <c r="O32" i="5"/>
  <c r="D32" i="5"/>
  <c r="H32" i="5"/>
  <c r="L32" i="5"/>
  <c r="P32" i="5"/>
  <c r="J32" i="5"/>
  <c r="R32" i="5"/>
  <c r="E32" i="5"/>
  <c r="F32" i="5"/>
  <c r="Q32" i="5"/>
  <c r="M32" i="5"/>
  <c r="N32" i="5"/>
  <c r="I32" i="5"/>
  <c r="C28" i="5"/>
  <c r="G28" i="5"/>
  <c r="K28" i="5"/>
  <c r="O28" i="5"/>
  <c r="D28" i="5"/>
  <c r="H28" i="5"/>
  <c r="L28" i="5"/>
  <c r="P28" i="5"/>
  <c r="J28" i="5"/>
  <c r="R28" i="5"/>
  <c r="F28" i="5"/>
  <c r="I28" i="5"/>
  <c r="E28" i="5"/>
  <c r="M28" i="5"/>
  <c r="N28" i="5"/>
  <c r="Q28" i="5"/>
  <c r="C24" i="5"/>
  <c r="G24" i="5"/>
  <c r="K24" i="5"/>
  <c r="O24" i="5"/>
  <c r="H24" i="5"/>
  <c r="M24" i="5"/>
  <c r="R24" i="5"/>
  <c r="D24" i="5"/>
  <c r="I24" i="5"/>
  <c r="N24" i="5"/>
  <c r="F24" i="5"/>
  <c r="Q24" i="5"/>
  <c r="L24" i="5"/>
  <c r="E24" i="5"/>
  <c r="J24" i="5"/>
  <c r="P24" i="5"/>
  <c r="C20" i="5"/>
  <c r="G20" i="5"/>
  <c r="K20" i="5"/>
  <c r="O20" i="5"/>
  <c r="D20" i="5"/>
  <c r="H20" i="5"/>
  <c r="L20" i="5"/>
  <c r="P20" i="5"/>
  <c r="E20" i="5"/>
  <c r="M20" i="5"/>
  <c r="F20" i="5"/>
  <c r="N20" i="5"/>
  <c r="J20" i="5"/>
  <c r="Q20" i="5"/>
  <c r="R20" i="5"/>
  <c r="I20" i="5"/>
  <c r="C16" i="5"/>
  <c r="G16" i="5"/>
  <c r="K16" i="5"/>
  <c r="O16" i="5"/>
  <c r="D16" i="5"/>
  <c r="H16" i="5"/>
  <c r="L16" i="5"/>
  <c r="P16" i="5"/>
  <c r="E16" i="5"/>
  <c r="M16" i="5"/>
  <c r="F16" i="5"/>
  <c r="N16" i="5"/>
  <c r="J16" i="5"/>
  <c r="Q16" i="5"/>
  <c r="R16" i="5"/>
  <c r="I16" i="5"/>
  <c r="C12" i="5"/>
  <c r="G12" i="5"/>
  <c r="K12" i="5"/>
  <c r="O12" i="5"/>
  <c r="D12" i="5"/>
  <c r="H12" i="5"/>
  <c r="L12" i="5"/>
  <c r="P12" i="5"/>
  <c r="E12" i="5"/>
  <c r="M12" i="5"/>
  <c r="F12" i="5"/>
  <c r="N12" i="5"/>
  <c r="J12" i="5"/>
  <c r="R12" i="5"/>
  <c r="Q12" i="5"/>
  <c r="I12" i="5"/>
  <c r="I5" i="5"/>
  <c r="R5" i="5"/>
  <c r="N5" i="5"/>
  <c r="J5" i="5"/>
  <c r="E5" i="5"/>
  <c r="Q5" i="5"/>
  <c r="H5" i="5"/>
  <c r="M5" i="5"/>
  <c r="D5" i="5"/>
  <c r="K5" i="5"/>
  <c r="G5" i="5"/>
  <c r="O5" i="5"/>
  <c r="P5" i="5"/>
  <c r="F5" i="5"/>
  <c r="L5" i="5"/>
  <c r="C31" i="5"/>
  <c r="G31" i="5"/>
  <c r="K31" i="5"/>
  <c r="O31" i="5"/>
  <c r="D31" i="5"/>
  <c r="H31" i="5"/>
  <c r="L31" i="5"/>
  <c r="P31" i="5"/>
  <c r="J31" i="5"/>
  <c r="R31" i="5"/>
  <c r="F31" i="5"/>
  <c r="Q31" i="5"/>
  <c r="E31" i="5"/>
  <c r="M31" i="5"/>
  <c r="N31" i="5"/>
  <c r="I31" i="5"/>
  <c r="C27" i="5"/>
  <c r="G27" i="5"/>
  <c r="K27" i="5"/>
  <c r="O27" i="5"/>
  <c r="D27" i="5"/>
  <c r="H27" i="5"/>
  <c r="L27" i="5"/>
  <c r="P27" i="5"/>
  <c r="J27" i="5"/>
  <c r="R27" i="5"/>
  <c r="F27" i="5"/>
  <c r="Q27" i="5"/>
  <c r="E27" i="5"/>
  <c r="M27" i="5"/>
  <c r="N27" i="5"/>
  <c r="I27" i="5"/>
  <c r="C23" i="5"/>
  <c r="G23" i="5"/>
  <c r="K23" i="5"/>
  <c r="O23" i="5"/>
  <c r="H23" i="5"/>
  <c r="M23" i="5"/>
  <c r="R23" i="5"/>
  <c r="D23" i="5"/>
  <c r="I23" i="5"/>
  <c r="N23" i="5"/>
  <c r="L23" i="5"/>
  <c r="F23" i="5"/>
  <c r="E23" i="5"/>
  <c r="P23" i="5"/>
  <c r="Q23" i="5"/>
  <c r="J23" i="5"/>
  <c r="C19" i="5"/>
  <c r="G19" i="5"/>
  <c r="K19" i="5"/>
  <c r="O19" i="5"/>
  <c r="D19" i="5"/>
  <c r="H19" i="5"/>
  <c r="L19" i="5"/>
  <c r="P19" i="5"/>
  <c r="E19" i="5"/>
  <c r="M19" i="5"/>
  <c r="F19" i="5"/>
  <c r="N19" i="5"/>
  <c r="J19" i="5"/>
  <c r="R19" i="5"/>
  <c r="I19" i="5"/>
  <c r="Q19" i="5"/>
  <c r="C15" i="5"/>
  <c r="G15" i="5"/>
  <c r="K15" i="5"/>
  <c r="O15" i="5"/>
  <c r="D15" i="5"/>
  <c r="H15" i="5"/>
  <c r="L15" i="5"/>
  <c r="P15" i="5"/>
  <c r="E15" i="5"/>
  <c r="M15" i="5"/>
  <c r="F15" i="5"/>
  <c r="N15" i="5"/>
  <c r="J15" i="5"/>
  <c r="I15" i="5"/>
  <c r="Q15" i="5"/>
  <c r="R15" i="5"/>
  <c r="C11" i="5"/>
  <c r="G11" i="5"/>
  <c r="K11" i="5"/>
  <c r="O11" i="5"/>
  <c r="D11" i="5"/>
  <c r="H11" i="5"/>
  <c r="L11" i="5"/>
  <c r="P11" i="5"/>
  <c r="E11" i="5"/>
  <c r="M11" i="5"/>
  <c r="F11" i="5"/>
  <c r="N11" i="5"/>
  <c r="J11" i="5"/>
  <c r="I11" i="5"/>
  <c r="Q11" i="5"/>
  <c r="R11" i="5"/>
  <c r="G7" i="5"/>
  <c r="K7" i="5"/>
  <c r="O7" i="5"/>
  <c r="D7" i="5"/>
  <c r="H7" i="5"/>
  <c r="L7" i="5"/>
  <c r="P7" i="5"/>
  <c r="E7" i="5"/>
  <c r="M7" i="5"/>
  <c r="Q7" i="5"/>
  <c r="F7" i="5"/>
  <c r="N7" i="5"/>
  <c r="I7" i="5"/>
  <c r="R7" i="5"/>
  <c r="J7" i="5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C9" i="4" l="1"/>
  <c r="E9" i="4"/>
  <c r="G9" i="4"/>
  <c r="I9" i="4"/>
  <c r="M9" i="4"/>
  <c r="C10" i="4"/>
  <c r="E10" i="4"/>
  <c r="I10" i="4"/>
  <c r="M10" i="4"/>
  <c r="O10" i="4"/>
  <c r="C6" i="4"/>
  <c r="C7" i="4"/>
  <c r="C8" i="4"/>
  <c r="E6" i="4"/>
  <c r="E7" i="4"/>
  <c r="E8" i="4"/>
  <c r="G6" i="4"/>
  <c r="G7" i="4"/>
  <c r="G8" i="4"/>
  <c r="I6" i="4"/>
  <c r="I7" i="4"/>
  <c r="I8" i="4"/>
  <c r="M6" i="4"/>
  <c r="M7" i="4"/>
  <c r="M8" i="4"/>
  <c r="O6" i="4"/>
  <c r="O7" i="4"/>
  <c r="O8" i="4"/>
  <c r="P8" i="4" s="1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O5" i="4"/>
  <c r="M5" i="4"/>
  <c r="I5" i="4"/>
  <c r="G5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5" i="4"/>
  <c r="P26" i="4" l="1"/>
  <c r="P18" i="4"/>
  <c r="P14" i="4"/>
  <c r="B30" i="5"/>
  <c r="P33" i="4"/>
  <c r="P29" i="4"/>
  <c r="P25" i="4"/>
  <c r="P21" i="4"/>
  <c r="P17" i="4"/>
  <c r="P13" i="4"/>
  <c r="P7" i="4"/>
  <c r="P34" i="4"/>
  <c r="P22" i="4"/>
  <c r="P32" i="4"/>
  <c r="P28" i="4"/>
  <c r="P24" i="4"/>
  <c r="P20" i="4"/>
  <c r="P16" i="4"/>
  <c r="P12" i="4"/>
  <c r="P6" i="4"/>
  <c r="P10" i="4"/>
  <c r="P30" i="4"/>
  <c r="P5" i="4"/>
  <c r="P35" i="4"/>
  <c r="P31" i="4"/>
  <c r="P27" i="4"/>
  <c r="P23" i="4"/>
  <c r="P19" i="4"/>
  <c r="P15" i="4"/>
  <c r="P11" i="4"/>
  <c r="P9" i="4"/>
  <c r="E36" i="2"/>
  <c r="E39" i="2" s="1"/>
  <c r="F36" i="2"/>
  <c r="F39" i="2" s="1"/>
  <c r="G36" i="2"/>
  <c r="H36" i="2"/>
  <c r="H39" i="2" s="1"/>
  <c r="I36" i="2"/>
  <c r="I39" i="2" s="1"/>
  <c r="J36" i="2"/>
  <c r="J39" i="2" s="1"/>
  <c r="K36" i="2"/>
  <c r="L36" i="2"/>
  <c r="L39" i="2" s="1"/>
  <c r="M36" i="2"/>
  <c r="M39" i="2" s="1"/>
  <c r="N36" i="2"/>
  <c r="N39" i="2" s="1"/>
  <c r="O36" i="2"/>
  <c r="P36" i="2"/>
  <c r="P39" i="2" s="1"/>
  <c r="Q36" i="2"/>
  <c r="Q39" i="2" s="1"/>
  <c r="R36" i="2"/>
  <c r="R39" i="2" s="1"/>
  <c r="S36" i="2"/>
  <c r="G39" i="2"/>
  <c r="K39" i="2"/>
  <c r="O39" i="2"/>
  <c r="S39" i="2"/>
  <c r="D36" i="2"/>
  <c r="D39" i="2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B37" i="1"/>
  <c r="C37" i="1"/>
  <c r="D37" i="1"/>
  <c r="B14" i="5" l="1"/>
  <c r="B8" i="5"/>
  <c r="B7" i="5"/>
  <c r="B25" i="5"/>
  <c r="B28" i="5"/>
  <c r="B12" i="5"/>
  <c r="B31" i="5"/>
  <c r="B9" i="5"/>
  <c r="B27" i="5"/>
  <c r="B10" i="5"/>
  <c r="B21" i="5"/>
  <c r="B26" i="5"/>
  <c r="B20" i="5"/>
  <c r="B11" i="5"/>
  <c r="B29" i="5"/>
  <c r="B19" i="5"/>
  <c r="B17" i="5"/>
  <c r="B18" i="5"/>
  <c r="B13" i="5"/>
  <c r="B32" i="5"/>
  <c r="B15" i="5"/>
  <c r="B6" i="5"/>
  <c r="B23" i="5"/>
  <c r="B16" i="5"/>
  <c r="B34" i="5"/>
  <c r="B22" i="5"/>
  <c r="B33" i="5"/>
  <c r="B24" i="5"/>
  <c r="E37" i="1"/>
  <c r="C38" i="5" l="1"/>
  <c r="G39" i="5"/>
  <c r="P42" i="5"/>
  <c r="D42" i="5" l="1"/>
  <c r="J42" i="5"/>
  <c r="E42" i="5"/>
  <c r="D41" i="5"/>
  <c r="I42" i="5"/>
  <c r="L42" i="5"/>
  <c r="F42" i="5"/>
  <c r="G42" i="5"/>
  <c r="R42" i="5"/>
  <c r="O42" i="5"/>
  <c r="H42" i="5"/>
  <c r="G41" i="5"/>
  <c r="M42" i="5"/>
  <c r="Q42" i="5"/>
  <c r="K42" i="5"/>
  <c r="N42" i="5"/>
  <c r="N41" i="5"/>
  <c r="Q41" i="5"/>
  <c r="R40" i="5"/>
  <c r="Q40" i="5"/>
  <c r="H40" i="5"/>
  <c r="L40" i="5"/>
  <c r="F40" i="5"/>
  <c r="L41" i="5"/>
  <c r="O40" i="5"/>
  <c r="P40" i="5"/>
  <c r="E40" i="5"/>
  <c r="E41" i="5"/>
  <c r="J40" i="5"/>
  <c r="I40" i="5"/>
  <c r="J41" i="5"/>
  <c r="K41" i="5"/>
  <c r="F41" i="5"/>
  <c r="N40" i="5"/>
  <c r="P41" i="5"/>
  <c r="G38" i="5"/>
  <c r="F38" i="5"/>
  <c r="O38" i="5"/>
  <c r="G36" i="5"/>
  <c r="H36" i="5"/>
  <c r="H39" i="5"/>
  <c r="L38" i="5"/>
  <c r="K38" i="5"/>
  <c r="J38" i="5"/>
  <c r="I38" i="5"/>
  <c r="C36" i="5"/>
  <c r="K39" i="5"/>
  <c r="K36" i="5"/>
  <c r="F39" i="5"/>
  <c r="F36" i="5"/>
  <c r="N39" i="5"/>
  <c r="N36" i="5"/>
  <c r="R38" i="5"/>
  <c r="R39" i="5"/>
  <c r="R36" i="5"/>
  <c r="I41" i="5"/>
  <c r="R41" i="5"/>
  <c r="O41" i="5"/>
  <c r="D40" i="5"/>
  <c r="K40" i="5"/>
  <c r="H38" i="5"/>
  <c r="M38" i="5"/>
  <c r="O39" i="5"/>
  <c r="O36" i="5"/>
  <c r="D36" i="5"/>
  <c r="D39" i="5"/>
  <c r="I36" i="5"/>
  <c r="I39" i="5"/>
  <c r="Q36" i="5"/>
  <c r="Q39" i="5"/>
  <c r="N38" i="5"/>
  <c r="P39" i="5"/>
  <c r="P36" i="5"/>
  <c r="H41" i="5"/>
  <c r="M41" i="5"/>
  <c r="M40" i="5"/>
  <c r="G40" i="5"/>
  <c r="Q38" i="5"/>
  <c r="D38" i="5"/>
  <c r="P38" i="5"/>
  <c r="E38" i="5"/>
  <c r="L39" i="5"/>
  <c r="L36" i="5"/>
  <c r="E39" i="5"/>
  <c r="E36" i="5"/>
  <c r="M39" i="5"/>
  <c r="M36" i="5"/>
  <c r="J39" i="5"/>
  <c r="J36" i="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B8DD132-62C3-41BB-AF88-CB3E99D4FCE9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25F0B3D-72A7-4FE2-9339-DC43B43072C9}" name="WorksheetConnection_Follow-up FMR - Camino.xlsx!GT" type="102" refreshedVersion="6" minRefreshableVersion="5">
    <extLst>
      <ext xmlns:x15="http://schemas.microsoft.com/office/spreadsheetml/2010/11/main" uri="{DE250136-89BD-433C-8126-D09CA5730AF9}">
        <x15:connection id="GT">
          <x15:rangePr sourceName="_xlcn.WorksheetConnection_FollowupFMRCamino.xlsxGT1"/>
        </x15:connection>
      </ext>
    </extLst>
  </connection>
  <connection id="3" xr16:uid="{CD6FDB5F-75FE-4B44-8FA2-42BBA0564195}" name="WorksheetConnection_Follow-up FMR - Camino.xlsx!MX" type="102" refreshedVersion="6" minRefreshableVersion="5">
    <extLst>
      <ext xmlns:x15="http://schemas.microsoft.com/office/spreadsheetml/2010/11/main" uri="{DE250136-89BD-433C-8126-D09CA5730AF9}">
        <x15:connection id="MX">
          <x15:rangePr sourceName="_xlcn.WorksheetConnection_FollowupFMRCamino.xlsxMX1"/>
        </x15:connection>
      </ext>
    </extLst>
  </connection>
</connections>
</file>

<file path=xl/sharedStrings.xml><?xml version="1.0" encoding="utf-8"?>
<sst xmlns="http://schemas.openxmlformats.org/spreadsheetml/2006/main" count="647" uniqueCount="95">
  <si>
    <t>INFORMATIONS A REPORTER</t>
  </si>
  <si>
    <t>Mission</t>
  </si>
  <si>
    <t>Cellule</t>
  </si>
  <si>
    <t>FMR</t>
  </si>
  <si>
    <t>Coef</t>
  </si>
  <si>
    <t>sept.21</t>
  </si>
  <si>
    <t>oct.21</t>
  </si>
  <si>
    <t>nov.21</t>
  </si>
  <si>
    <t>déc.21</t>
  </si>
  <si>
    <t>janv.22</t>
  </si>
  <si>
    <t>févr.222</t>
  </si>
  <si>
    <t>mars.222</t>
  </si>
  <si>
    <t>avr.22</t>
  </si>
  <si>
    <t>mai.22</t>
  </si>
  <si>
    <t>juin.22</t>
  </si>
  <si>
    <t>juil.22</t>
  </si>
  <si>
    <t>août.22</t>
  </si>
  <si>
    <t>sept.22</t>
  </si>
  <si>
    <t>oct.22</t>
  </si>
  <si>
    <t>nov.22</t>
  </si>
  <si>
    <t>déc.22</t>
  </si>
  <si>
    <t>janv.23</t>
  </si>
  <si>
    <t>févr.23</t>
  </si>
  <si>
    <t>SD</t>
  </si>
  <si>
    <t>Charly</t>
  </si>
  <si>
    <t>YE</t>
  </si>
  <si>
    <t>Cécile</t>
  </si>
  <si>
    <t>SS</t>
  </si>
  <si>
    <t>MZ</t>
  </si>
  <si>
    <t>SZ</t>
  </si>
  <si>
    <t>TZ</t>
  </si>
  <si>
    <t>Lauranne</t>
  </si>
  <si>
    <t>KG</t>
  </si>
  <si>
    <t>AM</t>
  </si>
  <si>
    <t>UA</t>
  </si>
  <si>
    <t>MM</t>
  </si>
  <si>
    <t>SO</t>
  </si>
  <si>
    <t>KE</t>
  </si>
  <si>
    <t>BF</t>
  </si>
  <si>
    <t>CM</t>
  </si>
  <si>
    <t>NE</t>
  </si>
  <si>
    <t>NG</t>
  </si>
  <si>
    <t>SN</t>
  </si>
  <si>
    <t>IR</t>
  </si>
  <si>
    <t>Clément</t>
  </si>
  <si>
    <t>CD</t>
  </si>
  <si>
    <t>IQ</t>
  </si>
  <si>
    <t>LB</t>
  </si>
  <si>
    <t>JO</t>
  </si>
  <si>
    <t>AO</t>
  </si>
  <si>
    <t>E</t>
  </si>
  <si>
    <t>TD</t>
  </si>
  <si>
    <t>MG</t>
  </si>
  <si>
    <t>GR</t>
  </si>
  <si>
    <t>UG</t>
  </si>
  <si>
    <t>Non rattaché</t>
  </si>
  <si>
    <t>MX</t>
  </si>
  <si>
    <t>CAMINO</t>
  </si>
  <si>
    <t>HN</t>
  </si>
  <si>
    <t>GT</t>
  </si>
  <si>
    <t>Total</t>
  </si>
  <si>
    <t>Suivi des retours</t>
  </si>
  <si>
    <t xml:space="preserve">Total changements de retours : </t>
  </si>
  <si>
    <t>soit en pourcentage des retours:</t>
  </si>
  <si>
    <t>Mois</t>
  </si>
  <si>
    <t>NE RIEN INSCRIRE DANS CES TABLEAUX</t>
  </si>
  <si>
    <t>Pays</t>
  </si>
  <si>
    <t>Column1</t>
  </si>
  <si>
    <t>févr.22</t>
  </si>
  <si>
    <t>mars.22</t>
  </si>
  <si>
    <t>Total coef</t>
  </si>
  <si>
    <t>Difficultés particulières</t>
  </si>
  <si>
    <t>OUI</t>
  </si>
  <si>
    <t>NON</t>
  </si>
  <si>
    <t>KP</t>
  </si>
  <si>
    <t>INFORMATIONS A REPORTER : Copier-coller en valeur la colonne "Total coef" dans le mois en cours</t>
  </si>
  <si>
    <t>Départs réalisés</t>
  </si>
  <si>
    <t>Alpha</t>
  </si>
  <si>
    <t>Bravo</t>
  </si>
  <si>
    <t>Delta</t>
  </si>
  <si>
    <t>Echo</t>
  </si>
  <si>
    <t>Condition 1</t>
  </si>
  <si>
    <t>Impact 1</t>
  </si>
  <si>
    <t>Condition 2</t>
  </si>
  <si>
    <t>Impact 2</t>
  </si>
  <si>
    <t>Condition 3</t>
  </si>
  <si>
    <t>Impact 3</t>
  </si>
  <si>
    <t>Condition 4</t>
  </si>
  <si>
    <t>Impact 4</t>
  </si>
  <si>
    <t>Condition 5</t>
  </si>
  <si>
    <t>Impact 5</t>
  </si>
  <si>
    <t>Condition 6</t>
  </si>
  <si>
    <t>Impact 6</t>
  </si>
  <si>
    <t>Condition 7</t>
  </si>
  <si>
    <t>Impact 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</si>
</sst>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0.0"/>
  </numFmts>
  <fonts count="14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20"/>
      <color rgb="FFC00000"/>
      <name val="Calibri"/>
      <family val="2"/>
      <scheme val="minor"/>
    </font>
    <font>
      <b/>
      <sz val="20"/>
      <color rgb="FF00B05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i/>
      <sz val="11"/>
      <color rgb="FFC0000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rgb="FFC00000"/>
      <name val="Calibri"/>
      <family val="2"/>
      <scheme val="minor"/>
    </font>
    <font>
      <i/>
      <sz val="11"/>
      <color rgb="FFC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6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</borders>
  <cellStyleXfs count="1">
    <xf numFmtId="0" fontId="0" fillId="0" borderId="0"/>
  </cellStyleXfs>
  <cellXfs count="52">
    <xf numFmtId="0" fontId="0" fillId="0" borderId="0" xfId="0"/>
    <xf numFmtId="17" fontId="0" fillId="0" borderId="0" xfId="0" applyNumberFormat="1"/>
    <xf numFmtId="0" fontId="0" fillId="0" borderId="0" xfId="0" applyAlignment="1">
      <alignment horizont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right" vertical="center"/>
    </xf>
    <xf numFmtId="17" fontId="0" fillId="0" borderId="1" xfId="0" applyNumberFormat="1" applyBorder="1" applyAlignment="1">
      <alignment wrapText="1"/>
    </xf>
    <xf numFmtId="17" fontId="0" fillId="0" borderId="2" xfId="0" applyNumberFormat="1" applyBorder="1" applyAlignment="1">
      <alignment wrapText="1"/>
    </xf>
    <xf numFmtId="0" fontId="4" fillId="0" borderId="0" xfId="0" applyFont="1"/>
    <xf numFmtId="0" fontId="3" fillId="2" borderId="3" xfId="0" applyFont="1" applyFill="1" applyBorder="1"/>
    <xf numFmtId="9" fontId="3" fillId="2" borderId="3" xfId="0" applyNumberFormat="1" applyFont="1" applyFill="1" applyBorder="1"/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9" xfId="0" quotePrefix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7" fillId="0" borderId="0" xfId="0" applyFont="1"/>
    <xf numFmtId="0" fontId="8" fillId="0" borderId="0" xfId="0" applyFont="1"/>
    <xf numFmtId="0" fontId="3" fillId="2" borderId="4" xfId="0" applyFont="1" applyFill="1" applyBorder="1"/>
    <xf numFmtId="0" fontId="3" fillId="2" borderId="14" xfId="0" applyFont="1" applyFill="1" applyBorder="1"/>
    <xf numFmtId="0" fontId="3" fillId="2" borderId="5" xfId="0" applyFont="1" applyFill="1" applyBorder="1"/>
    <xf numFmtId="0" fontId="0" fillId="3" borderId="3" xfId="0" applyFill="1" applyBorder="1"/>
    <xf numFmtId="0" fontId="9" fillId="0" borderId="0" xfId="0" applyFont="1"/>
    <xf numFmtId="165" fontId="0" fillId="0" borderId="7" xfId="0" applyNumberFormat="1" applyBorder="1"/>
    <xf numFmtId="165" fontId="0" fillId="0" borderId="3" xfId="0" applyNumberFormat="1" applyBorder="1" applyAlignment="1">
      <alignment horizontal="center"/>
    </xf>
    <xf numFmtId="165" fontId="0" fillId="0" borderId="6" xfId="0" applyNumberFormat="1" applyBorder="1"/>
    <xf numFmtId="165" fontId="0" fillId="0" borderId="11" xfId="0" applyNumberFormat="1" applyBorder="1"/>
    <xf numFmtId="165" fontId="0" fillId="0" borderId="12" xfId="0" applyNumberFormat="1" applyBorder="1" applyAlignment="1">
      <alignment horizontal="center"/>
    </xf>
    <xf numFmtId="165" fontId="0" fillId="0" borderId="13" xfId="0" applyNumberFormat="1" applyBorder="1"/>
    <xf numFmtId="165" fontId="6" fillId="0" borderId="0" xfId="0" applyNumberFormat="1" applyFont="1"/>
    <xf numFmtId="165" fontId="6" fillId="0" borderId="0" xfId="0" applyNumberFormat="1" applyFont="1" applyAlignment="1">
      <alignment horizontal="center"/>
    </xf>
    <xf numFmtId="165" fontId="10" fillId="0" borderId="0" xfId="0" applyNumberFormat="1" applyFont="1" applyAlignment="1">
      <alignment horizontal="center"/>
    </xf>
    <xf numFmtId="165" fontId="0" fillId="0" borderId="0" xfId="0" applyNumberFormat="1"/>
    <xf numFmtId="0" fontId="0" fillId="0" borderId="0" xfId="0" applyBorder="1"/>
    <xf numFmtId="165" fontId="0" fillId="0" borderId="3" xfId="0" applyNumberFormat="1" applyBorder="1"/>
    <xf numFmtId="0" fontId="0" fillId="4" borderId="1" xfId="0" applyFont="1" applyFill="1" applyBorder="1"/>
    <xf numFmtId="0" fontId="0" fillId="0" borderId="1" xfId="0" applyFont="1" applyBorder="1"/>
    <xf numFmtId="17" fontId="0" fillId="3" borderId="3" xfId="0" applyNumberFormat="1" applyFill="1" applyBorder="1"/>
    <xf numFmtId="0" fontId="2" fillId="0" borderId="1" xfId="0" applyFont="1" applyBorder="1" applyAlignment="1">
      <alignment vertical="center"/>
    </xf>
    <xf numFmtId="0" fontId="0" fillId="0" borderId="15" xfId="0" applyFont="1" applyFill="1" applyBorder="1"/>
    <xf numFmtId="17" fontId="3" fillId="0" borderId="9" xfId="0" applyNumberFormat="1" applyFont="1" applyFill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17" fontId="3" fillId="0" borderId="10" xfId="0" applyNumberFormat="1" applyFont="1" applyFill="1" applyBorder="1" applyAlignment="1">
      <alignment horizontal="center" vertical="center" wrapText="1"/>
    </xf>
    <xf numFmtId="165" fontId="9" fillId="0" borderId="3" xfId="0" applyNumberFormat="1" applyFont="1" applyBorder="1" applyAlignment="1">
      <alignment horizontal="center"/>
    </xf>
    <xf numFmtId="165" fontId="9" fillId="0" borderId="12" xfId="0" applyNumberFormat="1" applyFont="1" applyBorder="1" applyAlignment="1">
      <alignment horizontal="center"/>
    </xf>
    <xf numFmtId="165" fontId="0" fillId="0" borderId="12" xfId="0" applyNumberFormat="1" applyBorder="1"/>
    <xf numFmtId="0" fontId="0" fillId="0" borderId="0" xfId="0" applyAlignment="1">
      <alignment horizontal="left"/>
    </xf>
    <xf numFmtId="0" fontId="11" fillId="0" borderId="0" xfId="0" applyFont="1"/>
    <xf numFmtId="0" fontId="12" fillId="4" borderId="1" xfId="0" applyFont="1" applyFill="1" applyBorder="1"/>
    <xf numFmtId="0" fontId="12" fillId="0" borderId="1" xfId="0" applyFont="1" applyBorder="1"/>
    <xf numFmtId="0" fontId="13" fillId="0" borderId="1" xfId="0" applyFont="1" applyBorder="1" applyAlignment="1">
      <alignment vertical="center"/>
    </xf>
    <xf numFmtId="0" fontId="3" fillId="2" borderId="6" xfId="0" applyFont="1" applyFill="1" applyBorder="1" applyAlignment="1">
      <alignment horizontal="left"/>
    </xf>
    <xf numFmtId="0" fontId="0" fillId="3" borderId="3" xfId="0" applyNumberFormat="1" applyFill="1" applyBorder="1"/>
  </cellXfs>
  <cellStyles count="1">
    <cellStyle name="Normal" xfId="0" builtinId="0"/>
  </cellStyles>
  <dxfs count="69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2" formatCode="mmm/yy"/>
    </dxf>
    <dxf>
      <numFmt numFmtId="165" formatCode="0.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0.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0.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0.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0.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0.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0.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0.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0.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0.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0.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0.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0.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0.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0.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0.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0.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strike val="0"/>
        <outline val="0"/>
        <shadow val="0"/>
        <u val="none"/>
        <vertAlign val="baseline"/>
        <sz val="11"/>
        <color rgb="FFC00000"/>
        <name val="Calibri"/>
        <family val="2"/>
        <scheme val="minor"/>
      </font>
      <numFmt numFmtId="165" formatCode="0.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0.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0.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0.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0.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0.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0.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0.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0.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0.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0.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0.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0.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0.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0.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0.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5" formatCode="0.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rgb="FFC00000"/>
        <name val="Calibri"/>
        <family val="2"/>
        <scheme val="minor"/>
      </font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i/>
        <strike val="0"/>
        <outline val="0"/>
        <shadow val="0"/>
        <u val="none"/>
        <vertAlign val="baseline"/>
        <sz val="11"/>
        <color rgb="FFC00000"/>
        <name val="Calibri"/>
        <family val="2"/>
      </font>
    </dxf>
    <dxf>
      <font>
        <i/>
        <strike val="0"/>
        <outline val="0"/>
        <shadow val="0"/>
        <u val="none"/>
        <vertAlign val="baseline"/>
        <sz val="11"/>
        <color rgb="FFC00000"/>
        <name val="Calibri"/>
        <family val="2"/>
      </font>
    </dxf>
    <dxf>
      <font>
        <i/>
        <strike val="0"/>
        <outline val="0"/>
        <shadow val="0"/>
        <u val="none"/>
        <vertAlign val="baseline"/>
        <sz val="11"/>
        <color rgb="FFC00000"/>
        <name val="Calibri"/>
        <family val="2"/>
      </font>
    </dxf>
    <dxf>
      <font>
        <i/>
        <strike val="0"/>
        <outline val="0"/>
        <shadow val="0"/>
        <u val="none"/>
        <vertAlign val="baseline"/>
        <sz val="11"/>
        <color rgb="FFC00000"/>
        <name val="Calibri"/>
        <family val="2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numFmt numFmtId="22" formatCode="mmm/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general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powerPivotData" Target="model/item.data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OCG/HR/HRAT/Shared%20Documents/Field%20movements/Follow-up%20FMR%20-%20Camin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GT"/>
      <sheetName val="HN"/>
      <sheetName val="MX"/>
      <sheetName val="Mettre à jour"/>
      <sheetName val="Départs"/>
      <sheetName val="Non-réalisés"/>
      <sheetName val="Follow-up FMR - Camino"/>
    </sheetNames>
    <definedNames>
      <definedName name="GT"/>
      <definedName name="MX"/>
    </defined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297187D-00DC-4447-979C-D03C0B3ECECE}" name="Départ" displayName="Départ" ref="A5:S35" totalsRowShown="0">
  <autoFilter ref="A5:S35" xr:uid="{984D7673-0954-4E69-8CC8-92E6A9712273}"/>
  <sortState xmlns:xlrd2="http://schemas.microsoft.com/office/spreadsheetml/2017/richdata2" ref="A6:S35">
    <sortCondition ref="A6"/>
  </sortState>
  <tableColumns count="19">
    <tableColumn id="3" xr3:uid="{F3A7AA73-638D-4C7A-AE3A-03EE77793F8A}" name="Mission"/>
    <tableColumn id="22" xr3:uid="{BE9DDA74-2E27-437C-A285-33E9809EF253}" name="sept.21" dataDxfId="68"/>
    <tableColumn id="23" xr3:uid="{95DFEE76-A867-467A-AEBF-CCE51AE597E4}" name="oct.21" dataDxfId="67"/>
    <tableColumn id="24" xr3:uid="{2FFDA812-D9B9-488D-B8DA-258EF42D1A0E}" name="nov.21" dataDxfId="66"/>
    <tableColumn id="4" xr3:uid="{831B3CB8-FC72-4981-ACE2-0009AC05AECF}" name="déc.21"/>
    <tableColumn id="6" xr3:uid="{E78111BD-2AC4-4216-B978-EB70E5A158BD}" name="janv.22"/>
    <tableColumn id="7" xr3:uid="{6513E51F-0462-406C-BB86-9FAF5242D543}" name="févr.22"/>
    <tableColumn id="8" xr3:uid="{5346664C-25F1-42F1-93E2-6BE66496F3EF}" name="mars.222"/>
    <tableColumn id="9" xr3:uid="{89781B14-D494-496D-93B0-590FC3B7E89D}" name="avr.22"/>
    <tableColumn id="10" xr3:uid="{2CE80194-E56B-4C57-9776-C4F605313A1E}" name="mai.22"/>
    <tableColumn id="11" xr3:uid="{E438867E-858C-4650-B81D-F8E03C7032EA}" name="juin.22"/>
    <tableColumn id="12" xr3:uid="{7CCAFAA3-8E49-4E87-9A50-69176EF5B7CE}" name="juil.22"/>
    <tableColumn id="13" xr3:uid="{21F95947-5CB0-4AA2-8D9B-12A5DA27229A}" name="août.22"/>
    <tableColumn id="14" xr3:uid="{3F7EBC14-D131-460D-ADAD-50F3E479AAAA}" name="sept.22"/>
    <tableColumn id="15" xr3:uid="{B8E5C0BB-22F1-4BA4-A444-A17C04BA6F77}" name="oct.22"/>
    <tableColumn id="16" xr3:uid="{4E51BD59-3C8A-4DFD-A042-971F0FEF8C81}" name="nov.22"/>
    <tableColumn id="17" xr3:uid="{ED24F7E1-FB1C-4ED0-9394-9489DE87CF67}" name="déc.22"/>
    <tableColumn id="18" xr3:uid="{6C63CD36-3EA3-4046-A9A2-051189DB1E8D}" name="janv.23"/>
    <tableColumn id="19" xr3:uid="{2D98BFB9-8815-4681-940A-0CAC8E8F010C}" name="févr.2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E37B87A-E6A2-44DD-860A-8331F2A46685}" name="Table6" displayName="Table6" ref="A1:Q31" totalsRowShown="0" headerRowDxfId="65">
  <autoFilter ref="A1:Q31" xr:uid="{82542CC5-74FE-4B64-93F2-171633949CD0}"/>
  <tableColumns count="17">
    <tableColumn id="1" xr3:uid="{F7425878-EE42-4D09-8827-192E45A4341D}" name="Pays" dataDxfId="64">
      <calculatedColumnFormula>Départs!A6</calculatedColumnFormula>
    </tableColumn>
    <tableColumn id="2" xr3:uid="{428DD942-D490-4A2D-96B1-EF6AE33A6239}" name="sept.21" dataDxfId="63"/>
    <tableColumn id="3" xr3:uid="{15014B24-EBCD-47A1-9362-70CC4765D668}" name="oct.21" dataDxfId="62"/>
    <tableColumn id="4" xr3:uid="{75E404D4-A3C2-4B67-BD09-27E432C5E9A2}" name="nov.21" dataDxfId="61"/>
    <tableColumn id="5" xr3:uid="{6CB9F467-08E8-478A-89D3-45046375F00E}" name="déc.21" dataDxfId="60"/>
    <tableColumn id="6" xr3:uid="{F492CA3D-3C36-4C07-B54D-0F6900670E85}" name="janv.22" dataDxfId="59"/>
    <tableColumn id="7" xr3:uid="{173373F7-DD0F-46DB-9C07-F12AA79740C8}" name="févr.22"/>
    <tableColumn id="8" xr3:uid="{9C81C9D0-1F06-4DFF-9EA8-90C0BE9DAEEC}" name="mars.22"/>
    <tableColumn id="9" xr3:uid="{57AB9F49-FA30-4011-B3D7-BE775AD62C6D}" name="avr.22"/>
    <tableColumn id="10" xr3:uid="{84A4058A-84B6-4E1D-8D82-27F546EB9F47}" name="mai.22"/>
    <tableColumn id="11" xr3:uid="{C3C4B911-2AD0-49A2-800E-ADE9755CD430}" name="juin.22"/>
    <tableColumn id="12" xr3:uid="{938AF417-0A0A-45F5-ABED-40DE36373EFC}" name="juil.22"/>
    <tableColumn id="13" xr3:uid="{3F32E596-6B8F-4B2D-9829-FCE63D9E5EC0}" name="août.22"/>
    <tableColumn id="14" xr3:uid="{42017966-77E2-4D93-86C7-49DBC98FA106}" name="sept.22"/>
    <tableColumn id="15" xr3:uid="{26CAB982-6566-4C49-BDDC-B3D6FE8848AF}" name="oct.22"/>
    <tableColumn id="16" xr3:uid="{870E5AFC-B6D1-41EC-A8B3-95C9CAD7CA5B}" name="nov.22"/>
    <tableColumn id="17" xr3:uid="{59D050A2-F3F8-4E76-B321-F03C4257DF10}" name="déc.2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E40F577-55BB-4F7A-8D6A-1F453C8CF59A}" name="Table13" displayName="Table13" ref="A5:S34" totalsRowShown="0">
  <autoFilter ref="A5:S34" xr:uid="{EB61EEC0-48E0-4502-9681-6EC6E83936EB}"/>
  <tableColumns count="19">
    <tableColumn id="1" xr3:uid="{7ED51A29-C6F6-434C-A60B-FC49BC372424}" name="FMR"/>
    <tableColumn id="2" xr3:uid="{01FE1D58-DAC1-4F9E-929E-37D88DB66331}" name="Cellule" dataDxfId="58"/>
    <tableColumn id="3" xr3:uid="{9E9002D5-2CF9-410A-9B23-8AB12679AC52}" name="Mission"/>
    <tableColumn id="18" xr3:uid="{3B90865B-6B8F-497A-B98A-186A75C2E8BB}" name="sept.21" dataDxfId="57"/>
    <tableColumn id="19" xr3:uid="{976AB255-4208-40A5-B3CD-E3E2B36E6C70}" name="oct.21" dataDxfId="56"/>
    <tableColumn id="4" xr3:uid="{4EB0C7DF-B234-49BE-A70A-B15CD8026EFB}" name="nov.21"/>
    <tableColumn id="5" xr3:uid="{3399F382-5351-45A8-AFAB-A20393B4F29C}" name="déc.21"/>
    <tableColumn id="6" xr3:uid="{B534D3C9-C2C8-43F4-9D88-C6C4B4F7F563}" name="janv.22"/>
    <tableColumn id="7" xr3:uid="{C38A2D1A-4F10-438F-8846-108B18B263F9}" name="févr.222"/>
    <tableColumn id="8" xr3:uid="{ABCC6939-CE34-41DC-B9C3-38C14B2BA19B}" name="mars.222"/>
    <tableColumn id="9" xr3:uid="{EE080DFB-3B26-4A87-A6D0-2DBE07DCCC9D}" name="avr.22"/>
    <tableColumn id="10" xr3:uid="{4B987230-DFBA-4227-9E36-61B5AB2C6B43}" name="mai.22"/>
    <tableColumn id="11" xr3:uid="{37D79F3E-A3D4-4026-9483-64E2031FF1DA}" name="juin.22"/>
    <tableColumn id="12" xr3:uid="{D707668E-9D06-4466-BB11-D1E810D25137}" name="juil.22"/>
    <tableColumn id="13" xr3:uid="{5A1E22B2-E2AA-41EE-86CC-C2C0EC1ACCE7}" name="août.22"/>
    <tableColumn id="14" xr3:uid="{CCE07870-6B3C-4D6F-AC43-FE55A3205DAB}" name="sept.22"/>
    <tableColumn id="15" xr3:uid="{80F727B9-26DA-44E8-A63D-B2CA6837446F}" name="oct.22"/>
    <tableColumn id="16" xr3:uid="{8E676E85-F4E6-48C0-9FC8-C26E56E5E721}" name="nov.22"/>
    <tableColumn id="17" xr3:uid="{72B2595A-FC4D-4101-8468-0D09186F8FF3}" name="déc.2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F7044AA-708C-41C7-A587-7B4905B31213}" name="Table4" displayName="Table4" ref="A4:AG35" totalsRowShown="0" headerRowDxfId="55" dataDxfId="53" headerRowBorderDxfId="54" tableBorderDxfId="52" totalsRowBorderDxfId="51">
  <autoFilter ref="A4:AG35" xr:uid="{6B113A41-36B3-456A-9FD8-D5501C7F0ED2}"/>
  <tableColumns count="33">
    <tableColumn id="1" xr3:uid="{B27A3D50-6C0A-4BE0-B197-1E023037344E}" name="Mission" dataDxfId="50"/>
    <tableColumn id="2" xr3:uid="{DD522D42-C15D-4515-879F-1413CB3442C2}" name="Condition 1" dataDxfId="49"/>
    <tableColumn id="3" xr3:uid="{6AAA46DB-A038-4A30-A20F-2BA2605DF398}" name="Impact 1" dataDxfId="48">
      <calculatedColumnFormula>IF(B5="OUI",C$3,0)</calculatedColumnFormula>
    </tableColumn>
    <tableColumn id="4" xr3:uid="{6FDFF3FE-971F-43F9-9D43-7675126D2889}" name="Condition 2" dataDxfId="47"/>
    <tableColumn id="5" xr3:uid="{30AB5B67-FA27-486F-BBC2-05475978842E}" name="Impact 2" dataDxfId="46">
      <calculatedColumnFormula>IF(D5="OUI",E$3,0)</calculatedColumnFormula>
    </tableColumn>
    <tableColumn id="6" xr3:uid="{03AE1AED-883E-4AB4-9F59-393439E50076}" name="Condition 3" dataDxfId="45"/>
    <tableColumn id="7" xr3:uid="{940B0F7D-4F42-4E49-A9F9-B40FD9FECA24}" name="Impact 3" dataDxfId="44">
      <calculatedColumnFormula>IF(F5="OUI",G$3,0)</calculatedColumnFormula>
    </tableColumn>
    <tableColumn id="8" xr3:uid="{0C1DA2C8-3782-44B7-B209-2B2C1A98346B}" name="Condition 4" dataDxfId="43"/>
    <tableColumn id="9" xr3:uid="{9F925560-A620-4AB6-9248-D588C53D6D82}" name="Impact 4" dataDxfId="42">
      <calculatedColumnFormula>IF(H5="OUI",I$3,0)</calculatedColumnFormula>
    </tableColumn>
    <tableColumn id="20" xr3:uid="{B62EF7FA-E202-4866-B62C-BA1C3E353F38}" name="Condition 5" dataDxfId="41"/>
    <tableColumn id="21" xr3:uid="{4A70AF9D-E93C-428E-89C7-D0EBA04D4293}" name="Impact 5" dataDxfId="40">
      <calculatedColumnFormula>IF(J5="OUI",K$3,0)</calculatedColumnFormula>
    </tableColumn>
    <tableColumn id="10" xr3:uid="{A8CF0F56-39FE-4674-9590-D5C39DA00ECB}" name="Condition 6" dataDxfId="39"/>
    <tableColumn id="11" xr3:uid="{3686A8D9-81A3-4FDF-88EF-71D1E0B82C23}" name="Impact 6" dataDxfId="38">
      <calculatedColumnFormula>IF(L5="OUI",M$3,0)</calculatedColumnFormula>
    </tableColumn>
    <tableColumn id="12" xr3:uid="{FEDF3805-B5E0-44DA-9CDA-B2D7210D7148}" name="Condition 7" dataDxfId="37"/>
    <tableColumn id="13" xr3:uid="{E2733E72-BCF5-4534-BAC1-04F3A113E521}" name="Impact 7" dataDxfId="36">
      <calculatedColumnFormula>IF(N5="OUI",O$3,0)</calculatedColumnFormula>
    </tableColumn>
    <tableColumn id="15" xr3:uid="{2E07A52B-C022-4C8C-80D2-7F4CD86B56FF}" name="Total coef" dataDxfId="35">
      <calculatedColumnFormula>Table4[[#This Row],[Impact 7]]+Table4[[#This Row],[Impact 6]]+Table4[[#This Row],[Impact 4]]+Table4[[#This Row],[Impact 3]]+Table4[[#This Row],[Impact 5]]+Table4[[#This Row],[Impact 2]]+Table4[[#This Row],[Impact 1]]+1</calculatedColumnFormula>
    </tableColumn>
    <tableColumn id="14" xr3:uid="{4A28834A-D5BD-4177-9010-0210E305A23F}" name="Difficultés particulières" dataDxfId="34"/>
    <tableColumn id="22" xr3:uid="{E07FBC23-FA11-41A1-BDE5-4400E5337741}" name="sept.21" dataDxfId="33"/>
    <tableColumn id="16" xr3:uid="{4A0CDCE9-4D90-4549-85DF-F195133628B9}" name="oct.21" dataDxfId="32"/>
    <tableColumn id="17" xr3:uid="{8E9E274D-DF57-4CCC-AA66-E347AE0C561C}" name="nov.21" dataDxfId="31"/>
    <tableColumn id="18" xr3:uid="{900BE389-8492-4A27-8267-E101E1450ADB}" name="déc.21" dataDxfId="30"/>
    <tableColumn id="19" xr3:uid="{4D4D0BDF-03BF-4A81-B250-C451E78B1C82}" name="janv.22" dataDxfId="29"/>
    <tableColumn id="23" xr3:uid="{646E9573-2456-447A-8D2C-C16418C64984}" name="févr.22" dataDxfId="28"/>
    <tableColumn id="24" xr3:uid="{91B5D3FF-0E2D-4C5E-A144-46F88092C362}" name="mars.22" dataDxfId="27"/>
    <tableColumn id="25" xr3:uid="{E72E06CF-045A-49D5-A3D8-6672D57B8BDB}" name="avr.22" dataDxfId="26"/>
    <tableColumn id="26" xr3:uid="{E2A9A43C-4F82-4B1A-B44A-1381EF50F76A}" name="mai.22" dataDxfId="25"/>
    <tableColumn id="27" xr3:uid="{C37D6705-8C78-48A9-92B5-50689C0C6998}" name="juin.22" dataDxfId="24"/>
    <tableColumn id="28" xr3:uid="{59BFEBCD-522A-4E57-A8A6-29E357CED42F}" name="juil.22" dataDxfId="23"/>
    <tableColumn id="29" xr3:uid="{812EBCD7-0BF9-4EA4-BE9B-374B0726CFE1}" name="août.22" dataDxfId="22"/>
    <tableColumn id="30" xr3:uid="{785D9F38-5FB6-4ADB-9208-23908EFED5BF}" name="sept.22" dataDxfId="21"/>
    <tableColumn id="31" xr3:uid="{8F895603-07A9-49DE-8F18-AA4C1D1C2B4B}" name="oct.22" dataDxfId="20"/>
    <tableColumn id="32" xr3:uid="{8C5C5E11-5933-4578-A913-143488BDC7B9}" name="nov.22" dataDxfId="19"/>
    <tableColumn id="33" xr3:uid="{5D52690B-3663-4115-B141-B5545FC432AB}" name="déc.22" dataDxfId="18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E19AB5A9-D159-4CE7-9905-40B641C56ADE}" name="Charge" displayName="Charge" ref="A4:R34" totalsRowShown="0" headerRowDxfId="17">
  <autoFilter ref="A4:R34" xr:uid="{A6B61A56-9602-4B33-AFA5-EB4EE7A289FC}"/>
  <tableColumns count="18">
    <tableColumn id="1" xr3:uid="{00E04B62-619C-4BCB-9546-28CC0C4A57C2}" name="Pays">
      <calculatedColumnFormula>Départs!A6</calculatedColumnFormula>
    </tableColumn>
    <tableColumn id="19" xr3:uid="{8E762E2B-DDC4-4E76-A298-D726D93B1FBE}" name="Column1" dataDxfId="16">
      <calculatedColumnFormula>VLOOKUP(Charge[[#This Row],[Pays]],Départ[],3,FALSE)</calculatedColumnFormula>
    </tableColumn>
    <tableColumn id="3" xr3:uid="{38A4D44E-8C85-422E-9E85-73C66EA22082}" name="sept.21" dataDxfId="15">
      <calculatedColumnFormula>VLOOKUP($A5,Départ[],3,FALSE)*VLOOKUP($A5,Table4[#All],18,FALSE)</calculatedColumnFormula>
    </tableColumn>
    <tableColumn id="4" xr3:uid="{4024F82F-7750-4DC5-9035-266584EF3470}" name="oct.21" dataDxfId="14">
      <calculatedColumnFormula>VLOOKUP($A5,Départ[],4,FALSE)*VLOOKUP($A5,Table4[#All],19,FALSE)</calculatedColumnFormula>
    </tableColumn>
    <tableColumn id="5" xr3:uid="{F6D85DDA-20FF-431F-B459-8BCA2875F432}" name="nov.21" dataDxfId="13">
      <calculatedColumnFormula>VLOOKUP($A5,Départ[],5,FALSE)*VLOOKUP($A5,Table4[#All],20,FALSE)</calculatedColumnFormula>
    </tableColumn>
    <tableColumn id="6" xr3:uid="{37E83CA9-7381-4C10-8727-D912C959C833}" name="déc.21" dataDxfId="12">
      <calculatedColumnFormula>VLOOKUP($A5,Départ[],6,FALSE)*VLOOKUP($A5,Table4[#All],21,FALSE)</calculatedColumnFormula>
    </tableColumn>
    <tableColumn id="7" xr3:uid="{412B6E5E-B70D-4606-9E8C-CB0BC9B939B2}" name="janv.22" dataDxfId="11">
      <calculatedColumnFormula>VLOOKUP($A5,Départ[],7,FALSE)*VLOOKUP($A5,Table4[#All],22,FALSE)</calculatedColumnFormula>
    </tableColumn>
    <tableColumn id="8" xr3:uid="{865E8C81-E078-4DBD-A657-E545CD633069}" name="févr.22" dataDxfId="10">
      <calculatedColumnFormula>VLOOKUP($A5,Départ[],8,FALSE)*VLOOKUP($A5,Table4[#All],23,FALSE)</calculatedColumnFormula>
    </tableColumn>
    <tableColumn id="9" xr3:uid="{A9BB7802-79D7-47E7-96EE-F75731EA4F0E}" name="mars.22" dataDxfId="9">
      <calculatedColumnFormula>VLOOKUP($A5,Départ[],9,FALSE)*VLOOKUP($A5,Table4[#All],24,FALSE)</calculatedColumnFormula>
    </tableColumn>
    <tableColumn id="10" xr3:uid="{08D69639-A102-40F9-902E-E133248E18E7}" name="avr.22" dataDxfId="8">
      <calculatedColumnFormula>VLOOKUP($A5,Départ[],10,FALSE)*VLOOKUP($A5,Table4[#All],25,FALSE)</calculatedColumnFormula>
    </tableColumn>
    <tableColumn id="11" xr3:uid="{00DC7C39-7000-419C-86D2-C2790518C478}" name="mai.22" dataDxfId="7">
      <calculatedColumnFormula>VLOOKUP($A5,Départ[],11,FALSE)*VLOOKUP($A5,Table4[#All],26,FALSE)</calculatedColumnFormula>
    </tableColumn>
    <tableColumn id="12" xr3:uid="{DD192E28-F7A9-4809-8133-7981A4B64BF0}" name="juin.22" dataDxfId="6">
      <calculatedColumnFormula>VLOOKUP($A5,Départ[],12,FALSE)*VLOOKUP($A5,Table4[#All],27,FALSE)</calculatedColumnFormula>
    </tableColumn>
    <tableColumn id="13" xr3:uid="{C2D0EBF3-B49F-40E6-93B3-B85DD36D21F5}" name="juil.22" dataDxfId="5">
      <calculatedColumnFormula>VLOOKUP($A5,Départ[],13,FALSE)*VLOOKUP($A5,Table4[#All],28,FALSE)</calculatedColumnFormula>
    </tableColumn>
    <tableColumn id="14" xr3:uid="{1FF20409-85CA-4FA9-A64A-BDA5F770F3C1}" name="août.22" dataDxfId="4">
      <calculatedColumnFormula>VLOOKUP($A5,Départ[],14,FALSE)*VLOOKUP($A5,Table4[#All],29,FALSE)</calculatedColumnFormula>
    </tableColumn>
    <tableColumn id="15" xr3:uid="{7797B7D2-7374-4A29-AD9B-8F23031A2105}" name="sept.22" dataDxfId="3">
      <calculatedColumnFormula>VLOOKUP($A5,Départ[],15,FALSE)*VLOOKUP($A5,Table4[#All],30,FALSE)</calculatedColumnFormula>
    </tableColumn>
    <tableColumn id="16" xr3:uid="{BA229E33-8B4A-4636-988E-8309A70DF39A}" name="oct.22" dataDxfId="2">
      <calculatedColumnFormula>VLOOKUP($A5,Départ[],16,FALSE)*VLOOKUP($A5,Table4[#All],31,FALSE)</calculatedColumnFormula>
    </tableColumn>
    <tableColumn id="17" xr3:uid="{6C634CB1-7D84-449B-9A8C-6A0A1981BA40}" name="nov.22" dataDxfId="1">
      <calculatedColumnFormula>VLOOKUP($A5,Départ[],17,FALSE)*VLOOKUP($A5,Table4[#All],32,FALSE)</calculatedColumnFormula>
    </tableColumn>
    <tableColumn id="18" xr3:uid="{7A2B601E-82EE-4583-8554-147BA77C6B7B}" name="déc.22" dataDxfId="0">
      <calculatedColumnFormula>VLOOKUP($A5,Départ[],18,FALSE)*VLOOKUP($A5,Table4[#All],33,FALSE)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4C3A4-B569-4DC9-A681-8E889044D331}">
  <sheetPr>
    <tabColor theme="4" tint="0.59999389629810485"/>
  </sheetPr>
  <dimension ref="A1:S38"/>
  <sheetViews>
    <sheetView zoomScale="90" zoomScaleNormal="90" workbookViewId="0">
      <selection activeCell="M11" sqref="M11"/>
    </sheetView>
  </sheetViews>
  <sheetFormatPr defaultRowHeight="15" x14ac:dyDescent="0.25"/>
  <cols>
    <col min="1" max="1" width="16.7109375" customWidth="1"/>
    <col min="3" max="6" width="10.140625" customWidth="1"/>
    <col min="7" max="7" width="9.7109375" bestFit="1" customWidth="1"/>
    <col min="8" max="8" width="9.42578125" customWidth="1"/>
    <col min="9" max="9" width="10.42578125" customWidth="1"/>
    <col min="10" max="15" width="11" customWidth="1"/>
    <col min="16" max="21" width="12" customWidth="1"/>
    <col min="22" max="22" width="8.7109375" customWidth="1"/>
  </cols>
  <sheetData>
    <row r="1" spans="1:19" s="15" customFormat="1" ht="26.25" x14ac:dyDescent="0.4">
      <c r="A1" s="15" t="s">
        <v>0</v>
      </c>
    </row>
    <row r="5" spans="1:19" x14ac:dyDescent="0.25">
      <c r="A5" t="s">
        <v>1</v>
      </c>
      <c r="B5" s="1" t="s">
        <v>5</v>
      </c>
      <c r="C5" s="1" t="s">
        <v>6</v>
      </c>
      <c r="D5" s="1" t="s">
        <v>7</v>
      </c>
      <c r="E5" s="5" t="s">
        <v>8</v>
      </c>
      <c r="F5" s="1" t="s">
        <v>9</v>
      </c>
      <c r="G5" s="1" t="s">
        <v>68</v>
      </c>
      <c r="H5" s="1" t="s">
        <v>11</v>
      </c>
      <c r="I5" s="1" t="s">
        <v>12</v>
      </c>
      <c r="J5" s="1" t="s">
        <v>13</v>
      </c>
      <c r="K5" s="1" t="s">
        <v>14</v>
      </c>
      <c r="L5" s="1" t="s">
        <v>15</v>
      </c>
      <c r="M5" s="1" t="s">
        <v>16</v>
      </c>
      <c r="N5" s="1" t="s">
        <v>17</v>
      </c>
      <c r="O5" s="1" t="s">
        <v>18</v>
      </c>
      <c r="P5" s="1" t="s">
        <v>19</v>
      </c>
      <c r="Q5" s="1" t="s">
        <v>20</v>
      </c>
      <c r="R5" s="1" t="s">
        <v>21</v>
      </c>
      <c r="S5" s="1" t="s">
        <v>22</v>
      </c>
    </row>
    <row r="6" spans="1:19" x14ac:dyDescent="0.25">
      <c r="A6" t="s">
        <v>33</v>
      </c>
      <c r="B6">
        <v>4</v>
      </c>
      <c r="C6">
        <v>0</v>
      </c>
      <c r="D6">
        <v>1</v>
      </c>
      <c r="E6">
        <v>1</v>
      </c>
      <c r="F6">
        <v>2</v>
      </c>
      <c r="G6">
        <v>4</v>
      </c>
      <c r="H6">
        <v>0</v>
      </c>
      <c r="I6">
        <v>2</v>
      </c>
      <c r="J6">
        <v>0</v>
      </c>
      <c r="K6">
        <v>0</v>
      </c>
    </row>
    <row r="7" spans="1:19" x14ac:dyDescent="0.25">
      <c r="A7" t="s">
        <v>49</v>
      </c>
      <c r="B7">
        <v>1</v>
      </c>
      <c r="C7">
        <v>1</v>
      </c>
      <c r="D7">
        <v>4</v>
      </c>
      <c r="E7">
        <v>6</v>
      </c>
      <c r="F7">
        <v>1</v>
      </c>
      <c r="G7">
        <v>3</v>
      </c>
      <c r="H7">
        <v>4</v>
      </c>
      <c r="I7">
        <v>1</v>
      </c>
    </row>
    <row r="8" spans="1:19" x14ac:dyDescent="0.25">
      <c r="A8" t="s">
        <v>38</v>
      </c>
      <c r="B8">
        <v>1</v>
      </c>
      <c r="C8">
        <v>2</v>
      </c>
      <c r="D8">
        <v>3</v>
      </c>
      <c r="E8">
        <v>1</v>
      </c>
      <c r="F8">
        <v>12</v>
      </c>
      <c r="G8">
        <v>7</v>
      </c>
      <c r="H8">
        <v>7</v>
      </c>
      <c r="I8">
        <v>0</v>
      </c>
    </row>
    <row r="9" spans="1:19" x14ac:dyDescent="0.25">
      <c r="A9" t="s">
        <v>45</v>
      </c>
      <c r="B9">
        <v>11</v>
      </c>
      <c r="C9">
        <v>17</v>
      </c>
      <c r="D9">
        <v>15</v>
      </c>
      <c r="E9">
        <v>8</v>
      </c>
      <c r="F9">
        <v>11</v>
      </c>
      <c r="G9">
        <v>8</v>
      </c>
      <c r="H9">
        <v>7</v>
      </c>
      <c r="I9">
        <v>2</v>
      </c>
      <c r="J9">
        <v>2</v>
      </c>
    </row>
    <row r="10" spans="1:19" x14ac:dyDescent="0.25">
      <c r="A10" t="s">
        <v>39</v>
      </c>
      <c r="B10">
        <v>6</v>
      </c>
      <c r="C10">
        <v>3</v>
      </c>
      <c r="D10">
        <v>7</v>
      </c>
      <c r="E10">
        <v>1</v>
      </c>
      <c r="F10">
        <v>3</v>
      </c>
      <c r="G10">
        <v>4</v>
      </c>
      <c r="H10">
        <v>2</v>
      </c>
      <c r="I10">
        <v>1</v>
      </c>
      <c r="L10">
        <v>1</v>
      </c>
    </row>
    <row r="11" spans="1:19" x14ac:dyDescent="0.25">
      <c r="A11" t="s">
        <v>53</v>
      </c>
      <c r="B11">
        <v>1</v>
      </c>
      <c r="C11">
        <v>4</v>
      </c>
      <c r="D11">
        <v>0</v>
      </c>
      <c r="E11">
        <v>6</v>
      </c>
      <c r="F11">
        <v>4</v>
      </c>
      <c r="G11">
        <v>1</v>
      </c>
      <c r="H11">
        <v>0</v>
      </c>
      <c r="I11">
        <v>0</v>
      </c>
    </row>
    <row r="12" spans="1:19" x14ac:dyDescent="0.25">
      <c r="A12" s="3" t="s">
        <v>59</v>
      </c>
      <c r="B12" s="3">
        <v>5</v>
      </c>
      <c r="C12" s="3">
        <v>1</v>
      </c>
      <c r="D12" s="3">
        <v>2</v>
      </c>
      <c r="E12" s="4">
        <v>2</v>
      </c>
      <c r="F12">
        <v>3</v>
      </c>
      <c r="G12">
        <v>1</v>
      </c>
      <c r="H12">
        <v>1</v>
      </c>
    </row>
    <row r="13" spans="1:19" x14ac:dyDescent="0.25">
      <c r="A13" s="3" t="s">
        <v>58</v>
      </c>
      <c r="B13" s="3">
        <v>2</v>
      </c>
      <c r="C13" s="3">
        <v>3</v>
      </c>
      <c r="D13" s="3">
        <v>0</v>
      </c>
      <c r="E13" s="4">
        <v>1</v>
      </c>
      <c r="F13">
        <v>1</v>
      </c>
      <c r="G13">
        <v>2</v>
      </c>
      <c r="H13">
        <v>0</v>
      </c>
      <c r="J13">
        <v>1</v>
      </c>
      <c r="L13">
        <v>1</v>
      </c>
    </row>
    <row r="14" spans="1:19" x14ac:dyDescent="0.25">
      <c r="A14" t="s">
        <v>46</v>
      </c>
      <c r="B14">
        <v>8</v>
      </c>
      <c r="C14">
        <v>10</v>
      </c>
      <c r="D14">
        <v>8</v>
      </c>
      <c r="E14">
        <v>2</v>
      </c>
      <c r="F14">
        <v>5</v>
      </c>
      <c r="G14">
        <v>10</v>
      </c>
      <c r="H14">
        <v>6</v>
      </c>
      <c r="I14">
        <v>1</v>
      </c>
      <c r="J14">
        <v>0</v>
      </c>
    </row>
    <row r="15" spans="1:19" x14ac:dyDescent="0.25">
      <c r="A15" t="s">
        <v>43</v>
      </c>
      <c r="B15" s="3">
        <v>0</v>
      </c>
      <c r="C15" s="3">
        <v>0</v>
      </c>
      <c r="D15" s="3">
        <v>2</v>
      </c>
      <c r="E15">
        <v>0</v>
      </c>
      <c r="F15">
        <v>0</v>
      </c>
      <c r="G15">
        <v>1</v>
      </c>
      <c r="H15">
        <v>0</v>
      </c>
      <c r="I15">
        <v>0</v>
      </c>
      <c r="J15">
        <v>0</v>
      </c>
    </row>
    <row r="16" spans="1:19" x14ac:dyDescent="0.25">
      <c r="A16" s="31" t="s">
        <v>48</v>
      </c>
      <c r="B16" s="31">
        <v>2</v>
      </c>
      <c r="C16" s="31">
        <v>0</v>
      </c>
      <c r="D16" s="31">
        <v>0</v>
      </c>
      <c r="E16" s="31">
        <v>0</v>
      </c>
      <c r="F16" s="31">
        <v>0</v>
      </c>
      <c r="G16">
        <v>2</v>
      </c>
      <c r="H16">
        <v>1</v>
      </c>
      <c r="I16">
        <v>1</v>
      </c>
      <c r="J16">
        <v>0</v>
      </c>
    </row>
    <row r="17" spans="1:12" x14ac:dyDescent="0.25">
      <c r="A17" t="s">
        <v>37</v>
      </c>
      <c r="B17">
        <v>8</v>
      </c>
      <c r="C17">
        <v>0</v>
      </c>
      <c r="D17">
        <v>2</v>
      </c>
      <c r="E17">
        <v>2</v>
      </c>
      <c r="F17">
        <v>6</v>
      </c>
      <c r="G17">
        <v>8</v>
      </c>
      <c r="H17">
        <v>0</v>
      </c>
      <c r="I17">
        <v>0</v>
      </c>
      <c r="J17">
        <v>0</v>
      </c>
      <c r="K17">
        <v>0</v>
      </c>
    </row>
    <row r="18" spans="1:12" x14ac:dyDescent="0.25">
      <c r="A18" t="s">
        <v>32</v>
      </c>
      <c r="B18">
        <v>3</v>
      </c>
      <c r="C18">
        <v>1</v>
      </c>
      <c r="D18">
        <v>6</v>
      </c>
      <c r="E18">
        <v>1</v>
      </c>
      <c r="F18">
        <v>4</v>
      </c>
      <c r="G18">
        <v>11</v>
      </c>
      <c r="H18">
        <v>2</v>
      </c>
      <c r="I18">
        <v>0</v>
      </c>
      <c r="J18">
        <v>2</v>
      </c>
      <c r="K18">
        <v>0</v>
      </c>
    </row>
    <row r="19" spans="1:12" x14ac:dyDescent="0.25">
      <c r="A19" t="s">
        <v>47</v>
      </c>
      <c r="B19">
        <v>5</v>
      </c>
      <c r="C19">
        <v>8</v>
      </c>
      <c r="D19">
        <v>4</v>
      </c>
      <c r="E19">
        <v>3</v>
      </c>
      <c r="F19">
        <v>4</v>
      </c>
      <c r="G19">
        <v>3</v>
      </c>
      <c r="H19">
        <v>2</v>
      </c>
      <c r="I19">
        <v>1</v>
      </c>
      <c r="J19">
        <v>0</v>
      </c>
    </row>
    <row r="20" spans="1:12" x14ac:dyDescent="0.25">
      <c r="A20" t="s">
        <v>52</v>
      </c>
      <c r="B20">
        <v>0</v>
      </c>
      <c r="C20">
        <v>0</v>
      </c>
      <c r="D20">
        <v>0</v>
      </c>
      <c r="E20">
        <v>3</v>
      </c>
      <c r="F20">
        <v>1</v>
      </c>
      <c r="G20">
        <v>8</v>
      </c>
      <c r="H20">
        <v>0</v>
      </c>
      <c r="I20">
        <v>0</v>
      </c>
    </row>
    <row r="21" spans="1:12" x14ac:dyDescent="0.25">
      <c r="A21" t="s">
        <v>35</v>
      </c>
      <c r="B21">
        <v>0</v>
      </c>
      <c r="C21">
        <v>1</v>
      </c>
      <c r="D21">
        <v>0</v>
      </c>
      <c r="E21">
        <v>3</v>
      </c>
      <c r="F21">
        <v>3</v>
      </c>
      <c r="G21">
        <v>0</v>
      </c>
      <c r="H21">
        <v>0</v>
      </c>
      <c r="I21">
        <v>0</v>
      </c>
      <c r="J21">
        <v>2</v>
      </c>
      <c r="K21">
        <v>0</v>
      </c>
    </row>
    <row r="22" spans="1:12" x14ac:dyDescent="0.25">
      <c r="A22" s="3" t="s">
        <v>56</v>
      </c>
      <c r="B22" s="3">
        <v>5</v>
      </c>
      <c r="C22" s="3">
        <v>0</v>
      </c>
      <c r="D22" s="3">
        <v>3</v>
      </c>
      <c r="E22" s="4">
        <v>1</v>
      </c>
      <c r="F22">
        <v>4</v>
      </c>
      <c r="G22">
        <v>4</v>
      </c>
      <c r="H22">
        <v>2</v>
      </c>
      <c r="I22">
        <v>2</v>
      </c>
    </row>
    <row r="23" spans="1:12" x14ac:dyDescent="0.25">
      <c r="A23" t="s">
        <v>28</v>
      </c>
      <c r="B23">
        <v>0</v>
      </c>
      <c r="C23">
        <v>0</v>
      </c>
      <c r="D23">
        <v>0</v>
      </c>
      <c r="E23">
        <v>2</v>
      </c>
      <c r="F23">
        <v>3</v>
      </c>
      <c r="G23">
        <v>3</v>
      </c>
      <c r="H23">
        <v>3</v>
      </c>
      <c r="I23">
        <v>0</v>
      </c>
      <c r="J23">
        <v>0</v>
      </c>
      <c r="K23">
        <v>0</v>
      </c>
      <c r="L23">
        <v>0</v>
      </c>
    </row>
    <row r="24" spans="1:12" x14ac:dyDescent="0.25">
      <c r="A24" t="s">
        <v>40</v>
      </c>
      <c r="B24">
        <v>12</v>
      </c>
      <c r="C24">
        <v>9</v>
      </c>
      <c r="D24">
        <v>10</v>
      </c>
      <c r="E24">
        <v>2</v>
      </c>
      <c r="F24">
        <v>9</v>
      </c>
      <c r="G24">
        <v>10</v>
      </c>
      <c r="H24">
        <v>3</v>
      </c>
      <c r="I24">
        <v>1</v>
      </c>
    </row>
    <row r="25" spans="1:12" x14ac:dyDescent="0.25">
      <c r="A25" t="s">
        <v>41</v>
      </c>
      <c r="B25">
        <v>2</v>
      </c>
      <c r="C25">
        <v>6</v>
      </c>
      <c r="D25">
        <v>4</v>
      </c>
      <c r="E25">
        <v>3</v>
      </c>
      <c r="F25">
        <v>5</v>
      </c>
      <c r="G25">
        <v>6</v>
      </c>
      <c r="H25">
        <v>5</v>
      </c>
      <c r="I25">
        <v>1</v>
      </c>
    </row>
    <row r="26" spans="1:12" x14ac:dyDescent="0.25">
      <c r="A26" t="s">
        <v>23</v>
      </c>
      <c r="B26">
        <v>22</v>
      </c>
      <c r="C26">
        <v>13</v>
      </c>
      <c r="D26">
        <v>9</v>
      </c>
      <c r="E26">
        <v>13</v>
      </c>
      <c r="F26">
        <v>16</v>
      </c>
      <c r="G26">
        <v>5</v>
      </c>
      <c r="H26">
        <v>6</v>
      </c>
      <c r="I26">
        <v>2</v>
      </c>
      <c r="J26">
        <v>0</v>
      </c>
      <c r="K26">
        <v>0</v>
      </c>
      <c r="L26">
        <v>0</v>
      </c>
    </row>
    <row r="27" spans="1:12" x14ac:dyDescent="0.25">
      <c r="A27" t="s">
        <v>42</v>
      </c>
      <c r="B27">
        <v>4</v>
      </c>
      <c r="C27">
        <v>2</v>
      </c>
      <c r="D27">
        <v>2</v>
      </c>
      <c r="E27">
        <v>0</v>
      </c>
      <c r="F27">
        <v>1</v>
      </c>
      <c r="G27">
        <v>0</v>
      </c>
      <c r="H27">
        <v>0</v>
      </c>
      <c r="I27">
        <v>0</v>
      </c>
    </row>
    <row r="28" spans="1:12" x14ac:dyDescent="0.25">
      <c r="A28" t="s">
        <v>36</v>
      </c>
      <c r="B28">
        <v>0</v>
      </c>
      <c r="C28">
        <v>1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</row>
    <row r="29" spans="1:12" x14ac:dyDescent="0.25">
      <c r="A29" t="s">
        <v>27</v>
      </c>
      <c r="B29">
        <v>10</v>
      </c>
      <c r="C29">
        <v>17</v>
      </c>
      <c r="D29">
        <v>23</v>
      </c>
      <c r="E29">
        <v>22</v>
      </c>
      <c r="F29">
        <v>21</v>
      </c>
      <c r="G29">
        <v>20</v>
      </c>
      <c r="H29">
        <v>3</v>
      </c>
      <c r="I29">
        <v>2</v>
      </c>
      <c r="K29">
        <v>1</v>
      </c>
    </row>
    <row r="30" spans="1:12" x14ac:dyDescent="0.25">
      <c r="A30" t="s">
        <v>29</v>
      </c>
      <c r="B30">
        <v>3</v>
      </c>
      <c r="C30">
        <v>0</v>
      </c>
      <c r="D30">
        <v>0</v>
      </c>
      <c r="E30">
        <v>0</v>
      </c>
      <c r="F30">
        <v>0</v>
      </c>
      <c r="G30">
        <v>2</v>
      </c>
      <c r="H30">
        <v>0</v>
      </c>
      <c r="I30">
        <v>1</v>
      </c>
      <c r="J30">
        <v>0</v>
      </c>
      <c r="K30">
        <v>0</v>
      </c>
      <c r="L30">
        <v>0</v>
      </c>
    </row>
    <row r="31" spans="1:12" x14ac:dyDescent="0.25">
      <c r="A31" t="s">
        <v>51</v>
      </c>
      <c r="B31">
        <v>7</v>
      </c>
      <c r="C31">
        <v>4</v>
      </c>
      <c r="D31">
        <v>3</v>
      </c>
      <c r="E31">
        <v>2</v>
      </c>
      <c r="F31">
        <v>4</v>
      </c>
      <c r="G31">
        <v>5</v>
      </c>
      <c r="H31">
        <v>3</v>
      </c>
      <c r="I31">
        <v>1</v>
      </c>
    </row>
    <row r="32" spans="1:12" x14ac:dyDescent="0.25">
      <c r="A32" t="s">
        <v>30</v>
      </c>
      <c r="B32">
        <v>2</v>
      </c>
      <c r="C32">
        <v>0</v>
      </c>
      <c r="D32">
        <v>1</v>
      </c>
      <c r="E32">
        <v>2</v>
      </c>
      <c r="F32">
        <v>6</v>
      </c>
      <c r="G32">
        <v>5</v>
      </c>
      <c r="H32">
        <v>2</v>
      </c>
      <c r="I32">
        <v>2</v>
      </c>
      <c r="J32">
        <v>1</v>
      </c>
      <c r="K32">
        <v>1</v>
      </c>
    </row>
    <row r="33" spans="1:19" x14ac:dyDescent="0.25">
      <c r="A33" t="s">
        <v>34</v>
      </c>
      <c r="B33">
        <v>1</v>
      </c>
      <c r="C33">
        <v>1</v>
      </c>
      <c r="D33">
        <v>1</v>
      </c>
      <c r="E33">
        <v>0</v>
      </c>
      <c r="F33">
        <v>1</v>
      </c>
      <c r="G33">
        <v>4</v>
      </c>
      <c r="H33">
        <v>1</v>
      </c>
      <c r="I33">
        <v>1</v>
      </c>
      <c r="J33">
        <v>0</v>
      </c>
      <c r="K33">
        <v>1</v>
      </c>
    </row>
    <row r="34" spans="1:19" x14ac:dyDescent="0.25">
      <c r="A34" t="s">
        <v>54</v>
      </c>
      <c r="B34">
        <v>1</v>
      </c>
      <c r="C34">
        <v>0</v>
      </c>
      <c r="D34">
        <v>0</v>
      </c>
      <c r="E34">
        <v>1</v>
      </c>
      <c r="F34">
        <v>0</v>
      </c>
      <c r="G34">
        <v>0</v>
      </c>
      <c r="H34">
        <v>0</v>
      </c>
      <c r="I34">
        <v>1</v>
      </c>
    </row>
    <row r="35" spans="1:19" x14ac:dyDescent="0.25">
      <c r="A35" t="s">
        <v>25</v>
      </c>
      <c r="B35">
        <v>2</v>
      </c>
      <c r="C35">
        <v>10</v>
      </c>
      <c r="D35">
        <v>8</v>
      </c>
      <c r="E35">
        <v>4</v>
      </c>
      <c r="F35">
        <v>7</v>
      </c>
      <c r="G35">
        <v>5</v>
      </c>
      <c r="H35">
        <v>3</v>
      </c>
      <c r="I35">
        <v>8</v>
      </c>
      <c r="J35">
        <v>2</v>
      </c>
      <c r="K35">
        <v>0</v>
      </c>
      <c r="L35">
        <v>1</v>
      </c>
    </row>
    <row r="37" spans="1:19" x14ac:dyDescent="0.25">
      <c r="A37" s="50" t="s">
        <v>76</v>
      </c>
      <c r="B37" s="8">
        <f>SUM(Départ[sept.21])</f>
        <v>128</v>
      </c>
      <c r="C37" s="8">
        <f>SUM(Départ[oct.21])</f>
        <v>114</v>
      </c>
      <c r="D37" s="8">
        <f>SUM(Départ[nov.21])</f>
        <v>118</v>
      </c>
      <c r="E37" s="8">
        <f>SUM(Départ[déc.21])</f>
        <v>92</v>
      </c>
      <c r="F37" s="8">
        <f>SUM(Départ[janv.22])</f>
        <v>137</v>
      </c>
      <c r="G37" s="8">
        <f>SUM(Départ[févr.22])</f>
        <v>142</v>
      </c>
      <c r="H37" s="8">
        <f>SUM(Départ[mars.222])</f>
        <v>63</v>
      </c>
      <c r="I37" s="8">
        <f>SUM(Départ[avr.22])</f>
        <v>31</v>
      </c>
      <c r="J37" s="8">
        <f>SUM(Départ[mai.22])</f>
        <v>10</v>
      </c>
      <c r="K37" s="8">
        <f>SUM(Départ[juin.22])</f>
        <v>3</v>
      </c>
      <c r="L37" s="8">
        <f>SUM(Départ[juil.22])</f>
        <v>3</v>
      </c>
      <c r="M37" s="8">
        <f>SUM(Départ[août.22])</f>
        <v>0</v>
      </c>
      <c r="N37" s="8">
        <f>SUM(Départ[sept.22])</f>
        <v>0</v>
      </c>
      <c r="O37" s="8">
        <f>SUM(Départ[oct.22])</f>
        <v>0</v>
      </c>
      <c r="P37" s="8">
        <f>SUM(Départ[nov.22])</f>
        <v>0</v>
      </c>
      <c r="Q37" s="8">
        <f>SUM(Départ[déc.22])</f>
        <v>0</v>
      </c>
      <c r="R37" s="8">
        <f>SUM(Départ[janv.23])</f>
        <v>0</v>
      </c>
      <c r="S37" s="8">
        <f>SUM(Départ[févr.23])</f>
        <v>0</v>
      </c>
    </row>
    <row r="38" spans="1:19" x14ac:dyDescent="0.25">
      <c r="A38" s="45"/>
    </row>
  </sheetData>
  <phoneticPr fontId="1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FAFDD-E4AF-4897-8354-3E34C244C6D2}">
  <sheetPr>
    <tabColor rgb="FF00B050"/>
  </sheetPr>
  <dimension ref="A1:Q31"/>
  <sheetViews>
    <sheetView topLeftCell="A10" workbookViewId="0">
      <selection activeCell="B22" sqref="B22"/>
    </sheetView>
  </sheetViews>
  <sheetFormatPr defaultRowHeight="15" x14ac:dyDescent="0.25"/>
  <cols>
    <col min="1" max="1" width="10.42578125" customWidth="1"/>
    <col min="2" max="17" width="10.85546875" customWidth="1"/>
  </cols>
  <sheetData>
    <row r="1" spans="1:17" x14ac:dyDescent="0.25">
      <c r="A1" t="s">
        <v>66</v>
      </c>
      <c r="B1" s="1" t="s">
        <v>5</v>
      </c>
      <c r="C1" s="1" t="s">
        <v>6</v>
      </c>
      <c r="D1" s="1" t="s">
        <v>7</v>
      </c>
      <c r="E1" s="1" t="s">
        <v>8</v>
      </c>
      <c r="F1" s="1" t="s">
        <v>9</v>
      </c>
      <c r="G1" s="1" t="s">
        <v>68</v>
      </c>
      <c r="H1" s="1" t="s">
        <v>69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16</v>
      </c>
      <c r="N1" s="1" t="s">
        <v>17</v>
      </c>
      <c r="O1" s="1" t="s">
        <v>18</v>
      </c>
      <c r="P1" s="1" t="s">
        <v>19</v>
      </c>
      <c r="Q1" s="1" t="s">
        <v>20</v>
      </c>
    </row>
    <row r="2" spans="1:17" x14ac:dyDescent="0.25">
      <c r="A2" s="37" t="str">
        <f>Départs!A6</f>
        <v>AM</v>
      </c>
      <c r="B2" s="47" t="s">
        <v>79</v>
      </c>
      <c r="C2" s="47" t="s">
        <v>79</v>
      </c>
      <c r="D2" s="47" t="s">
        <v>79</v>
      </c>
      <c r="E2" s="47" t="s">
        <v>79</v>
      </c>
      <c r="F2" s="47" t="s">
        <v>79</v>
      </c>
      <c r="G2" s="33" t="s">
        <v>79</v>
      </c>
    </row>
    <row r="3" spans="1:17" x14ac:dyDescent="0.25">
      <c r="A3" s="37" t="str">
        <f>Départs!A7</f>
        <v>AO</v>
      </c>
      <c r="B3" s="48" t="s">
        <v>77</v>
      </c>
      <c r="C3" s="48" t="s">
        <v>77</v>
      </c>
      <c r="D3" s="48" t="s">
        <v>77</v>
      </c>
      <c r="E3" s="48" t="s">
        <v>77</v>
      </c>
      <c r="F3" s="48" t="s">
        <v>77</v>
      </c>
      <c r="G3" s="34" t="s">
        <v>77</v>
      </c>
    </row>
    <row r="4" spans="1:17" x14ac:dyDescent="0.25">
      <c r="A4" s="37" t="str">
        <f>Départs!A8</f>
        <v>BF</v>
      </c>
      <c r="B4" s="47" t="s">
        <v>79</v>
      </c>
      <c r="C4" s="47" t="s">
        <v>79</v>
      </c>
      <c r="D4" s="47" t="s">
        <v>79</v>
      </c>
      <c r="E4" s="47" t="s">
        <v>79</v>
      </c>
      <c r="F4" s="47" t="s">
        <v>79</v>
      </c>
      <c r="G4" s="33" t="s">
        <v>79</v>
      </c>
    </row>
    <row r="5" spans="1:17" x14ac:dyDescent="0.25">
      <c r="A5" s="37" t="str">
        <f>Départs!A9</f>
        <v>CD</v>
      </c>
      <c r="B5" s="48" t="s">
        <v>78</v>
      </c>
      <c r="C5" s="48" t="s">
        <v>78</v>
      </c>
      <c r="D5" s="48" t="s">
        <v>78</v>
      </c>
      <c r="E5" s="48" t="s">
        <v>78</v>
      </c>
      <c r="F5" s="48" t="s">
        <v>78</v>
      </c>
      <c r="G5" s="34" t="s">
        <v>78</v>
      </c>
    </row>
    <row r="6" spans="1:17" x14ac:dyDescent="0.25">
      <c r="A6" s="37" t="str">
        <f>Départs!A10</f>
        <v>CM</v>
      </c>
      <c r="B6" s="47" t="s">
        <v>79</v>
      </c>
      <c r="C6" s="47" t="s">
        <v>79</v>
      </c>
      <c r="D6" s="47" t="s">
        <v>79</v>
      </c>
      <c r="E6" s="47" t="s">
        <v>79</v>
      </c>
      <c r="F6" s="47" t="s">
        <v>79</v>
      </c>
      <c r="G6" s="33" t="s">
        <v>79</v>
      </c>
    </row>
    <row r="7" spans="1:17" x14ac:dyDescent="0.25">
      <c r="A7" s="37" t="str">
        <f>Départs!A11</f>
        <v>GR</v>
      </c>
      <c r="B7" s="48" t="s">
        <v>77</v>
      </c>
      <c r="C7" s="48" t="s">
        <v>77</v>
      </c>
      <c r="D7" s="48" t="s">
        <v>77</v>
      </c>
      <c r="E7" s="48" t="s">
        <v>77</v>
      </c>
      <c r="F7" s="48" t="s">
        <v>77</v>
      </c>
      <c r="G7" s="34" t="s">
        <v>77</v>
      </c>
    </row>
    <row r="8" spans="1:17" x14ac:dyDescent="0.25">
      <c r="A8" s="37" t="str">
        <f>Départs!A12</f>
        <v>GT</v>
      </c>
      <c r="B8" s="47" t="s">
        <v>79</v>
      </c>
      <c r="C8" s="47" t="s">
        <v>79</v>
      </c>
      <c r="D8" s="47" t="s">
        <v>79</v>
      </c>
      <c r="E8" s="47" t="s">
        <v>79</v>
      </c>
      <c r="F8" s="47" t="s">
        <v>79</v>
      </c>
      <c r="G8" s="33" t="s">
        <v>79</v>
      </c>
    </row>
    <row r="9" spans="1:17" x14ac:dyDescent="0.25">
      <c r="A9" s="37" t="str">
        <f>Départs!A13</f>
        <v>HN</v>
      </c>
      <c r="B9" s="48" t="s">
        <v>79</v>
      </c>
      <c r="C9" s="48" t="s">
        <v>79</v>
      </c>
      <c r="D9" s="48" t="s">
        <v>79</v>
      </c>
      <c r="E9" s="48" t="s">
        <v>79</v>
      </c>
      <c r="F9" s="48" t="s">
        <v>79</v>
      </c>
      <c r="G9" s="34" t="s">
        <v>79</v>
      </c>
    </row>
    <row r="10" spans="1:17" x14ac:dyDescent="0.25">
      <c r="A10" s="37" t="str">
        <f>Départs!A14</f>
        <v>IQ</v>
      </c>
      <c r="B10" s="47" t="s">
        <v>78</v>
      </c>
      <c r="C10" s="47" t="s">
        <v>78</v>
      </c>
      <c r="D10" s="47" t="s">
        <v>78</v>
      </c>
      <c r="E10" s="47" t="s">
        <v>78</v>
      </c>
      <c r="F10" s="47" t="s">
        <v>78</v>
      </c>
      <c r="G10" s="33" t="s">
        <v>78</v>
      </c>
    </row>
    <row r="11" spans="1:17" x14ac:dyDescent="0.25">
      <c r="A11" s="37" t="str">
        <f>Départs!A15</f>
        <v>IR</v>
      </c>
      <c r="B11" s="49" t="s">
        <v>78</v>
      </c>
      <c r="C11" s="49" t="s">
        <v>78</v>
      </c>
      <c r="D11" s="49" t="s">
        <v>78</v>
      </c>
      <c r="E11" s="49" t="s">
        <v>78</v>
      </c>
      <c r="F11" s="49" t="s">
        <v>78</v>
      </c>
      <c r="G11" s="36" t="s">
        <v>78</v>
      </c>
    </row>
    <row r="12" spans="1:17" x14ac:dyDescent="0.25">
      <c r="A12" s="37" t="str">
        <f>Départs!A16</f>
        <v>JO</v>
      </c>
      <c r="B12" s="47" t="s">
        <v>78</v>
      </c>
      <c r="C12" s="47" t="s">
        <v>78</v>
      </c>
      <c r="D12" s="47" t="s">
        <v>78</v>
      </c>
      <c r="E12" s="47" t="s">
        <v>78</v>
      </c>
      <c r="F12" s="47" t="s">
        <v>78</v>
      </c>
      <c r="G12" s="33" t="s">
        <v>78</v>
      </c>
    </row>
    <row r="13" spans="1:17" x14ac:dyDescent="0.25">
      <c r="A13" s="37" t="str">
        <f>Départs!A17</f>
        <v>KE</v>
      </c>
      <c r="B13" s="48" t="s">
        <v>24</v>
      </c>
      <c r="C13" s="48" t="s">
        <v>24</v>
      </c>
      <c r="D13" s="48" t="s">
        <v>24</v>
      </c>
      <c r="E13" s="48" t="s">
        <v>24</v>
      </c>
      <c r="F13" s="48" t="s">
        <v>24</v>
      </c>
      <c r="G13" s="34" t="s">
        <v>24</v>
      </c>
    </row>
    <row r="14" spans="1:17" x14ac:dyDescent="0.25">
      <c r="A14" s="37" t="str">
        <f>Départs!A18</f>
        <v>KG</v>
      </c>
      <c r="B14" s="47" t="s">
        <v>79</v>
      </c>
      <c r="C14" s="47" t="s">
        <v>79</v>
      </c>
      <c r="D14" s="47" t="s">
        <v>79</v>
      </c>
      <c r="E14" s="47" t="s">
        <v>79</v>
      </c>
      <c r="F14" s="47" t="s">
        <v>79</v>
      </c>
      <c r="G14" s="33" t="s">
        <v>79</v>
      </c>
    </row>
    <row r="15" spans="1:17" x14ac:dyDescent="0.25">
      <c r="A15" s="37" t="str">
        <f>Départs!A19</f>
        <v>LB</v>
      </c>
      <c r="B15" s="48" t="s">
        <v>79</v>
      </c>
      <c r="C15" s="48" t="s">
        <v>79</v>
      </c>
      <c r="D15" s="48" t="s">
        <v>79</v>
      </c>
      <c r="E15" s="48" t="s">
        <v>79</v>
      </c>
      <c r="F15" s="48" t="s">
        <v>79</v>
      </c>
      <c r="G15" s="34" t="s">
        <v>79</v>
      </c>
    </row>
    <row r="16" spans="1:17" x14ac:dyDescent="0.25">
      <c r="A16" s="37" t="str">
        <f>Départs!A20</f>
        <v>MG</v>
      </c>
      <c r="B16" s="47" t="s">
        <v>77</v>
      </c>
      <c r="C16" s="47" t="s">
        <v>77</v>
      </c>
      <c r="D16" s="47" t="s">
        <v>77</v>
      </c>
      <c r="E16" s="47" t="s">
        <v>77</v>
      </c>
      <c r="F16" s="47" t="s">
        <v>77</v>
      </c>
      <c r="G16" s="33" t="s">
        <v>77</v>
      </c>
    </row>
    <row r="17" spans="1:7" x14ac:dyDescent="0.25">
      <c r="A17" s="37" t="str">
        <f>Départs!A21</f>
        <v>MM</v>
      </c>
      <c r="B17" s="48" t="s">
        <v>79</v>
      </c>
      <c r="C17" s="48" t="s">
        <v>79</v>
      </c>
      <c r="D17" s="48" t="s">
        <v>79</v>
      </c>
      <c r="E17" s="48" t="s">
        <v>79</v>
      </c>
      <c r="F17" s="48" t="s">
        <v>79</v>
      </c>
      <c r="G17" s="34" t="s">
        <v>79</v>
      </c>
    </row>
    <row r="18" spans="1:7" x14ac:dyDescent="0.25">
      <c r="A18" s="37" t="str">
        <f>Départs!A22</f>
        <v>MX</v>
      </c>
      <c r="B18" s="47" t="s">
        <v>79</v>
      </c>
      <c r="C18" s="47" t="s">
        <v>79</v>
      </c>
      <c r="D18" s="47" t="s">
        <v>79</v>
      </c>
      <c r="E18" s="47" t="s">
        <v>79</v>
      </c>
      <c r="F18" s="47" t="s">
        <v>79</v>
      </c>
      <c r="G18" s="33" t="s">
        <v>79</v>
      </c>
    </row>
    <row r="19" spans="1:7" x14ac:dyDescent="0.25">
      <c r="A19" s="37" t="str">
        <f>Départs!A23</f>
        <v>MZ</v>
      </c>
      <c r="B19" s="48" t="s">
        <v>24</v>
      </c>
      <c r="C19" s="48" t="s">
        <v>24</v>
      </c>
      <c r="D19" s="48" t="s">
        <v>24</v>
      </c>
      <c r="E19" s="48" t="s">
        <v>24</v>
      </c>
      <c r="F19" s="48" t="s">
        <v>24</v>
      </c>
      <c r="G19" s="34" t="s">
        <v>24</v>
      </c>
    </row>
    <row r="20" spans="1:7" x14ac:dyDescent="0.25">
      <c r="A20" s="37" t="str">
        <f>Départs!A24</f>
        <v>NE</v>
      </c>
      <c r="B20" s="47" t="s">
        <v>79</v>
      </c>
      <c r="C20" s="47" t="s">
        <v>79</v>
      </c>
      <c r="D20" s="47" t="s">
        <v>79</v>
      </c>
      <c r="E20" s="47" t="s">
        <v>79</v>
      </c>
      <c r="F20" s="47" t="s">
        <v>79</v>
      </c>
      <c r="G20" s="33" t="s">
        <v>79</v>
      </c>
    </row>
    <row r="21" spans="1:7" x14ac:dyDescent="0.25">
      <c r="A21" s="37" t="str">
        <f>Départs!A25</f>
        <v>NG</v>
      </c>
      <c r="B21" s="48" t="s">
        <v>79</v>
      </c>
      <c r="C21" s="48" t="s">
        <v>79</v>
      </c>
      <c r="D21" s="48" t="s">
        <v>79</v>
      </c>
      <c r="E21" s="48" t="s">
        <v>79</v>
      </c>
      <c r="F21" s="48" t="s">
        <v>79</v>
      </c>
      <c r="G21" s="34" t="s">
        <v>79</v>
      </c>
    </row>
    <row r="22" spans="1:7" x14ac:dyDescent="0.25">
      <c r="A22" s="37" t="str">
        <f>Départs!A26</f>
        <v>SD</v>
      </c>
      <c r="B22" s="47" t="s">
        <v>80</v>
      </c>
      <c r="C22" s="47" t="s">
        <v>80</v>
      </c>
      <c r="D22" s="47" t="s">
        <v>80</v>
      </c>
      <c r="E22" s="47" t="s">
        <v>80</v>
      </c>
      <c r="F22" s="47" t="s">
        <v>80</v>
      </c>
      <c r="G22" s="33" t="s">
        <v>80</v>
      </c>
    </row>
    <row r="23" spans="1:7" x14ac:dyDescent="0.25">
      <c r="A23" s="37" t="str">
        <f>Départs!A27</f>
        <v>SN</v>
      </c>
      <c r="B23" s="48" t="s">
        <v>79</v>
      </c>
      <c r="C23" s="48" t="s">
        <v>79</v>
      </c>
      <c r="D23" s="48" t="s">
        <v>79</v>
      </c>
      <c r="E23" s="48" t="s">
        <v>79</v>
      </c>
      <c r="F23" s="48" t="s">
        <v>79</v>
      </c>
      <c r="G23" s="34" t="s">
        <v>79</v>
      </c>
    </row>
    <row r="24" spans="1:7" x14ac:dyDescent="0.25">
      <c r="A24" s="37" t="str">
        <f>Départs!A28</f>
        <v>SO</v>
      </c>
      <c r="B24" s="47" t="s">
        <v>24</v>
      </c>
      <c r="C24" s="47" t="s">
        <v>24</v>
      </c>
      <c r="D24" s="47" t="s">
        <v>24</v>
      </c>
      <c r="E24" s="47" t="s">
        <v>24</v>
      </c>
      <c r="F24" s="47" t="s">
        <v>24</v>
      </c>
      <c r="G24" s="33" t="s">
        <v>24</v>
      </c>
    </row>
    <row r="25" spans="1:7" x14ac:dyDescent="0.25">
      <c r="A25" s="37" t="str">
        <f>Départs!A29</f>
        <v>SS</v>
      </c>
      <c r="B25" s="48" t="s">
        <v>77</v>
      </c>
      <c r="C25" s="48" t="s">
        <v>77</v>
      </c>
      <c r="D25" s="48" t="s">
        <v>77</v>
      </c>
      <c r="E25" s="48" t="s">
        <v>77</v>
      </c>
      <c r="F25" s="48" t="s">
        <v>77</v>
      </c>
      <c r="G25" s="34" t="s">
        <v>77</v>
      </c>
    </row>
    <row r="26" spans="1:7" x14ac:dyDescent="0.25">
      <c r="A26" s="37" t="str">
        <f>Départs!A30</f>
        <v>SZ</v>
      </c>
      <c r="B26" s="47" t="s">
        <v>24</v>
      </c>
      <c r="C26" s="47" t="s">
        <v>24</v>
      </c>
      <c r="D26" s="47" t="s">
        <v>24</v>
      </c>
      <c r="E26" s="47" t="s">
        <v>24</v>
      </c>
      <c r="F26" s="47" t="s">
        <v>24</v>
      </c>
      <c r="G26" s="33" t="s">
        <v>24</v>
      </c>
    </row>
    <row r="27" spans="1:7" x14ac:dyDescent="0.25">
      <c r="A27" s="37" t="str">
        <f>Départs!A31</f>
        <v>TD</v>
      </c>
      <c r="B27" s="48" t="s">
        <v>77</v>
      </c>
      <c r="C27" s="48" t="s">
        <v>77</v>
      </c>
      <c r="D27" s="48" t="s">
        <v>77</v>
      </c>
      <c r="E27" s="48" t="s">
        <v>77</v>
      </c>
      <c r="F27" s="48" t="s">
        <v>77</v>
      </c>
      <c r="G27" s="34" t="s">
        <v>77</v>
      </c>
    </row>
    <row r="28" spans="1:7" x14ac:dyDescent="0.25">
      <c r="A28" s="37" t="str">
        <f>Départs!A32</f>
        <v>TZ</v>
      </c>
      <c r="B28" s="47" t="s">
        <v>79</v>
      </c>
      <c r="C28" s="47" t="s">
        <v>79</v>
      </c>
      <c r="D28" s="47" t="s">
        <v>79</v>
      </c>
      <c r="E28" s="47" t="s">
        <v>79</v>
      </c>
      <c r="F28" s="47" t="s">
        <v>79</v>
      </c>
      <c r="G28" s="33" t="s">
        <v>79</v>
      </c>
    </row>
    <row r="29" spans="1:7" x14ac:dyDescent="0.25">
      <c r="A29" s="37" t="str">
        <f>Départs!A33</f>
        <v>UA</v>
      </c>
      <c r="B29" s="48" t="s">
        <v>79</v>
      </c>
      <c r="C29" s="48" t="s">
        <v>79</v>
      </c>
      <c r="D29" s="48" t="s">
        <v>79</v>
      </c>
      <c r="E29" s="48" t="s">
        <v>79</v>
      </c>
      <c r="F29" s="48" t="s">
        <v>79</v>
      </c>
      <c r="G29" s="34" t="s">
        <v>79</v>
      </c>
    </row>
    <row r="30" spans="1:7" x14ac:dyDescent="0.25">
      <c r="A30" s="37" t="str">
        <f>Départs!A34</f>
        <v>UG</v>
      </c>
      <c r="B30" s="47" t="s">
        <v>79</v>
      </c>
      <c r="C30" s="47" t="s">
        <v>79</v>
      </c>
      <c r="D30" s="47" t="s">
        <v>79</v>
      </c>
      <c r="E30" s="47" t="s">
        <v>79</v>
      </c>
      <c r="F30" s="47" t="s">
        <v>79</v>
      </c>
      <c r="G30" s="33" t="s">
        <v>79</v>
      </c>
    </row>
    <row r="31" spans="1:7" x14ac:dyDescent="0.25">
      <c r="A31" s="37" t="str">
        <f>Départs!A35</f>
        <v>YE</v>
      </c>
      <c r="B31" s="48" t="s">
        <v>24</v>
      </c>
      <c r="C31" s="48" t="s">
        <v>24</v>
      </c>
      <c r="D31" s="48" t="s">
        <v>24</v>
      </c>
      <c r="E31" s="48" t="s">
        <v>24</v>
      </c>
      <c r="F31" s="48" t="s">
        <v>24</v>
      </c>
      <c r="G31" s="34" t="s">
        <v>24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559C7-A2A9-459C-8178-7956B905BB39}">
  <dimension ref="A1:S39"/>
  <sheetViews>
    <sheetView topLeftCell="A10" workbookViewId="0">
      <selection activeCell="G42" sqref="G42"/>
    </sheetView>
  </sheetViews>
  <sheetFormatPr defaultRowHeight="15" x14ac:dyDescent="0.25"/>
  <cols>
    <col min="2" max="2" width="11.5703125" bestFit="1" customWidth="1"/>
    <col min="3" max="5" width="10.140625" customWidth="1"/>
    <col min="6" max="6" width="9.7109375" bestFit="1" customWidth="1"/>
    <col min="7" max="7" width="9.85546875" customWidth="1"/>
    <col min="8" max="8" width="9.42578125" customWidth="1"/>
    <col min="9" max="9" width="10.42578125" customWidth="1"/>
    <col min="10" max="15" width="11" customWidth="1"/>
    <col min="16" max="19" width="12" customWidth="1"/>
  </cols>
  <sheetData>
    <row r="1" spans="1:19" s="7" customFormat="1" ht="18.75" x14ac:dyDescent="0.3">
      <c r="A1" s="7" t="s">
        <v>61</v>
      </c>
    </row>
    <row r="5" spans="1:19" x14ac:dyDescent="0.25">
      <c r="A5" t="s">
        <v>3</v>
      </c>
      <c r="B5" t="s">
        <v>2</v>
      </c>
      <c r="C5" t="s">
        <v>1</v>
      </c>
      <c r="D5" s="1" t="s">
        <v>5</v>
      </c>
      <c r="E5" s="1" t="s">
        <v>6</v>
      </c>
      <c r="F5" s="5" t="s">
        <v>7</v>
      </c>
      <c r="G5" s="6" t="s">
        <v>8</v>
      </c>
      <c r="H5" s="1" t="s">
        <v>9</v>
      </c>
      <c r="I5" s="1" t="s">
        <v>10</v>
      </c>
      <c r="J5" s="1" t="s">
        <v>11</v>
      </c>
      <c r="K5" s="1" t="s">
        <v>12</v>
      </c>
      <c r="L5" s="1" t="s">
        <v>13</v>
      </c>
      <c r="M5" s="1" t="s">
        <v>14</v>
      </c>
      <c r="N5" s="1" t="s">
        <v>15</v>
      </c>
      <c r="O5" s="1" t="s">
        <v>16</v>
      </c>
      <c r="P5" s="1" t="s">
        <v>17</v>
      </c>
      <c r="Q5" s="1" t="s">
        <v>18</v>
      </c>
      <c r="R5" s="1" t="s">
        <v>19</v>
      </c>
      <c r="S5" s="1" t="s">
        <v>20</v>
      </c>
    </row>
    <row r="6" spans="1:19" x14ac:dyDescent="0.25">
      <c r="A6" t="s">
        <v>24</v>
      </c>
      <c r="B6" s="2">
        <v>1</v>
      </c>
      <c r="C6" t="s">
        <v>23</v>
      </c>
      <c r="G6">
        <v>19</v>
      </c>
    </row>
    <row r="7" spans="1:19" x14ac:dyDescent="0.25">
      <c r="A7" t="s">
        <v>26</v>
      </c>
      <c r="B7" s="2">
        <v>1</v>
      </c>
      <c r="C7" t="s">
        <v>25</v>
      </c>
      <c r="G7">
        <v>7</v>
      </c>
    </row>
    <row r="8" spans="1:19" x14ac:dyDescent="0.25">
      <c r="A8" t="s">
        <v>26</v>
      </c>
      <c r="B8" s="2">
        <v>1</v>
      </c>
      <c r="C8" t="s">
        <v>27</v>
      </c>
      <c r="G8">
        <v>18</v>
      </c>
    </row>
    <row r="9" spans="1:19" x14ac:dyDescent="0.25">
      <c r="A9" t="s">
        <v>26</v>
      </c>
      <c r="B9" s="2">
        <v>1</v>
      </c>
      <c r="C9" t="s">
        <v>28</v>
      </c>
      <c r="G9">
        <v>4</v>
      </c>
    </row>
    <row r="10" spans="1:19" x14ac:dyDescent="0.25">
      <c r="A10" t="s">
        <v>26</v>
      </c>
      <c r="B10" s="2">
        <v>1</v>
      </c>
      <c r="C10" t="s">
        <v>29</v>
      </c>
      <c r="G10">
        <v>2</v>
      </c>
    </row>
    <row r="11" spans="1:19" x14ac:dyDescent="0.25">
      <c r="A11" t="s">
        <v>31</v>
      </c>
      <c r="B11" s="2">
        <v>2</v>
      </c>
      <c r="C11" t="s">
        <v>30</v>
      </c>
      <c r="G11">
        <v>2</v>
      </c>
    </row>
    <row r="12" spans="1:19" x14ac:dyDescent="0.25">
      <c r="A12" t="s">
        <v>31</v>
      </c>
      <c r="B12" s="2">
        <v>2</v>
      </c>
      <c r="C12" t="s">
        <v>32</v>
      </c>
      <c r="G12">
        <v>1</v>
      </c>
    </row>
    <row r="13" spans="1:19" x14ac:dyDescent="0.25">
      <c r="A13" t="s">
        <v>31</v>
      </c>
      <c r="B13" s="2">
        <v>2</v>
      </c>
      <c r="C13" t="s">
        <v>33</v>
      </c>
      <c r="G13">
        <v>1</v>
      </c>
    </row>
    <row r="14" spans="1:19" x14ac:dyDescent="0.25">
      <c r="A14" t="s">
        <v>31</v>
      </c>
      <c r="B14" s="2">
        <v>2</v>
      </c>
      <c r="C14" t="s">
        <v>34</v>
      </c>
      <c r="G14">
        <v>1</v>
      </c>
    </row>
    <row r="15" spans="1:19" x14ac:dyDescent="0.25">
      <c r="A15" t="s">
        <v>31</v>
      </c>
      <c r="B15" s="2">
        <v>2</v>
      </c>
      <c r="C15" t="s">
        <v>35</v>
      </c>
      <c r="G15">
        <v>0</v>
      </c>
    </row>
    <row r="16" spans="1:19" x14ac:dyDescent="0.25">
      <c r="A16" t="s">
        <v>26</v>
      </c>
      <c r="B16" s="2">
        <v>2</v>
      </c>
      <c r="C16" t="s">
        <v>36</v>
      </c>
      <c r="G16">
        <v>0</v>
      </c>
    </row>
    <row r="17" spans="1:7" x14ac:dyDescent="0.25">
      <c r="A17" t="s">
        <v>26</v>
      </c>
      <c r="B17" s="2">
        <v>2</v>
      </c>
      <c r="C17" t="s">
        <v>37</v>
      </c>
      <c r="G17">
        <v>2</v>
      </c>
    </row>
    <row r="18" spans="1:7" x14ac:dyDescent="0.25">
      <c r="A18" t="s">
        <v>31</v>
      </c>
      <c r="B18" s="2">
        <v>3</v>
      </c>
      <c r="C18" t="s">
        <v>38</v>
      </c>
      <c r="G18">
        <v>5</v>
      </c>
    </row>
    <row r="19" spans="1:7" x14ac:dyDescent="0.25">
      <c r="A19" t="s">
        <v>31</v>
      </c>
      <c r="B19" s="2">
        <v>3</v>
      </c>
      <c r="C19" t="s">
        <v>39</v>
      </c>
      <c r="G19">
        <v>2</v>
      </c>
    </row>
    <row r="20" spans="1:7" x14ac:dyDescent="0.25">
      <c r="A20" t="s">
        <v>31</v>
      </c>
      <c r="B20" s="2">
        <v>3</v>
      </c>
      <c r="C20" t="s">
        <v>40</v>
      </c>
      <c r="G20">
        <v>7</v>
      </c>
    </row>
    <row r="21" spans="1:7" x14ac:dyDescent="0.25">
      <c r="A21" t="s">
        <v>31</v>
      </c>
      <c r="B21" s="2">
        <v>3</v>
      </c>
      <c r="C21" t="s">
        <v>41</v>
      </c>
      <c r="G21">
        <v>2</v>
      </c>
    </row>
    <row r="22" spans="1:7" x14ac:dyDescent="0.25">
      <c r="A22" t="s">
        <v>31</v>
      </c>
      <c r="B22" s="2">
        <v>3</v>
      </c>
      <c r="C22" t="s">
        <v>42</v>
      </c>
      <c r="G22">
        <v>2</v>
      </c>
    </row>
    <row r="23" spans="1:7" x14ac:dyDescent="0.25">
      <c r="A23" t="s">
        <v>44</v>
      </c>
      <c r="B23" s="2">
        <v>4</v>
      </c>
      <c r="C23" t="s">
        <v>45</v>
      </c>
      <c r="G23">
        <v>11</v>
      </c>
    </row>
    <row r="24" spans="1:7" x14ac:dyDescent="0.25">
      <c r="A24" t="s">
        <v>44</v>
      </c>
      <c r="B24" s="2">
        <v>4</v>
      </c>
      <c r="C24" t="s">
        <v>46</v>
      </c>
      <c r="G24">
        <v>10</v>
      </c>
    </row>
    <row r="25" spans="1:7" x14ac:dyDescent="0.25">
      <c r="A25" t="s">
        <v>31</v>
      </c>
      <c r="B25" s="2">
        <v>4</v>
      </c>
      <c r="C25" t="s">
        <v>47</v>
      </c>
      <c r="G25">
        <v>1</v>
      </c>
    </row>
    <row r="26" spans="1:7" x14ac:dyDescent="0.25">
      <c r="A26" t="s">
        <v>44</v>
      </c>
      <c r="B26" s="2">
        <v>4</v>
      </c>
      <c r="C26" t="s">
        <v>48</v>
      </c>
      <c r="G26">
        <v>0</v>
      </c>
    </row>
    <row r="27" spans="1:7" x14ac:dyDescent="0.25">
      <c r="A27" t="s">
        <v>24</v>
      </c>
      <c r="B27" s="2" t="s">
        <v>50</v>
      </c>
      <c r="C27" t="s">
        <v>49</v>
      </c>
      <c r="G27">
        <v>2</v>
      </c>
    </row>
    <row r="28" spans="1:7" x14ac:dyDescent="0.25">
      <c r="A28" t="s">
        <v>24</v>
      </c>
      <c r="B28" s="2" t="s">
        <v>50</v>
      </c>
      <c r="C28" t="s">
        <v>51</v>
      </c>
      <c r="G28">
        <v>6</v>
      </c>
    </row>
    <row r="29" spans="1:7" x14ac:dyDescent="0.25">
      <c r="A29" t="s">
        <v>24</v>
      </c>
      <c r="B29" s="2" t="s">
        <v>50</v>
      </c>
      <c r="C29" t="s">
        <v>52</v>
      </c>
      <c r="G29">
        <v>0</v>
      </c>
    </row>
    <row r="30" spans="1:7" x14ac:dyDescent="0.25">
      <c r="A30" t="s">
        <v>24</v>
      </c>
      <c r="B30" s="2" t="s">
        <v>50</v>
      </c>
      <c r="C30" t="s">
        <v>53</v>
      </c>
      <c r="G30">
        <v>3</v>
      </c>
    </row>
    <row r="31" spans="1:7" x14ac:dyDescent="0.25">
      <c r="A31" t="s">
        <v>31</v>
      </c>
      <c r="B31" s="2" t="s">
        <v>55</v>
      </c>
      <c r="C31" t="s">
        <v>54</v>
      </c>
      <c r="G31">
        <v>1</v>
      </c>
    </row>
    <row r="32" spans="1:7" x14ac:dyDescent="0.25">
      <c r="A32" t="s">
        <v>31</v>
      </c>
      <c r="B32" s="2" t="s">
        <v>57</v>
      </c>
      <c r="C32" s="3" t="s">
        <v>56</v>
      </c>
      <c r="D32" s="3"/>
      <c r="E32" s="3"/>
      <c r="F32" s="4"/>
      <c r="G32" s="4">
        <v>1</v>
      </c>
    </row>
    <row r="33" spans="1:19" x14ac:dyDescent="0.25">
      <c r="A33" t="s">
        <v>31</v>
      </c>
      <c r="B33" s="2" t="s">
        <v>57</v>
      </c>
      <c r="C33" s="3" t="s">
        <v>58</v>
      </c>
      <c r="D33" s="3"/>
      <c r="E33" s="3"/>
      <c r="F33" s="4"/>
      <c r="G33" s="4">
        <v>1</v>
      </c>
    </row>
    <row r="34" spans="1:19" x14ac:dyDescent="0.25">
      <c r="A34" t="s">
        <v>31</v>
      </c>
      <c r="B34" s="2" t="s">
        <v>57</v>
      </c>
      <c r="C34" s="3" t="s">
        <v>59</v>
      </c>
      <c r="D34" s="3"/>
      <c r="E34" s="3"/>
      <c r="F34" s="4"/>
      <c r="G34" s="4">
        <v>4</v>
      </c>
    </row>
    <row r="36" spans="1:19" x14ac:dyDescent="0.25">
      <c r="A36" s="8" t="s">
        <v>60</v>
      </c>
      <c r="B36" s="8"/>
      <c r="C36" s="8"/>
      <c r="D36" s="8">
        <f>SUM(Table13[sept.21])</f>
        <v>0</v>
      </c>
      <c r="E36" s="8">
        <f>SUM(Table13[oct.21])</f>
        <v>0</v>
      </c>
      <c r="F36" s="8">
        <f>SUM(Table13[nov.21])</f>
        <v>0</v>
      </c>
      <c r="G36" s="8">
        <f>SUM(Table13[déc.21])</f>
        <v>115</v>
      </c>
      <c r="H36" s="8">
        <f>SUM(Table13[janv.22])</f>
        <v>0</v>
      </c>
      <c r="I36" s="8">
        <f>SUM(Table13[févr.222])</f>
        <v>0</v>
      </c>
      <c r="J36" s="8">
        <f>SUM(Table13[mars.222])</f>
        <v>0</v>
      </c>
      <c r="K36" s="8">
        <f>SUM(Table13[avr.22])</f>
        <v>0</v>
      </c>
      <c r="L36" s="8">
        <f>SUM(Table13[mai.22])</f>
        <v>0</v>
      </c>
      <c r="M36" s="8">
        <f>SUM(Table13[juin.22])</f>
        <v>0</v>
      </c>
      <c r="N36" s="8">
        <f>SUM(Table13[juil.22])</f>
        <v>0</v>
      </c>
      <c r="O36" s="8">
        <f>SUM(Table13[août.22])</f>
        <v>0</v>
      </c>
      <c r="P36" s="8">
        <f>SUM(Table13[sept.22])</f>
        <v>0</v>
      </c>
      <c r="Q36" s="8">
        <f>SUM(Table13[oct.22])</f>
        <v>0</v>
      </c>
      <c r="R36" s="8">
        <f>SUM(Table13[nov.22])</f>
        <v>0</v>
      </c>
      <c r="S36" s="8">
        <f>SUM(Table13[déc.22])</f>
        <v>0</v>
      </c>
    </row>
    <row r="38" spans="1:19" x14ac:dyDescent="0.25">
      <c r="A38" t="s">
        <v>62</v>
      </c>
      <c r="G38">
        <v>23</v>
      </c>
    </row>
    <row r="39" spans="1:19" x14ac:dyDescent="0.25">
      <c r="A39" s="8" t="s">
        <v>63</v>
      </c>
      <c r="B39" s="8"/>
      <c r="C39" s="8"/>
      <c r="D39" s="9" t="str">
        <f t="shared" ref="D39" si="0">IFERROR(D38/D36,"")</f>
        <v/>
      </c>
      <c r="E39" s="9" t="str">
        <f t="shared" ref="E39" si="1">IFERROR(E38/E36,"")</f>
        <v/>
      </c>
      <c r="F39" s="9" t="str">
        <f t="shared" ref="F39" si="2">IFERROR(F38/F36,"")</f>
        <v/>
      </c>
      <c r="G39" s="9">
        <f t="shared" ref="G39" si="3">IFERROR(G38/G36,"")</f>
        <v>0.2</v>
      </c>
      <c r="H39" s="9" t="str">
        <f t="shared" ref="H39" si="4">IFERROR(H38/H36,"")</f>
        <v/>
      </c>
      <c r="I39" s="9" t="str">
        <f t="shared" ref="I39" si="5">IFERROR(I38/I36,"")</f>
        <v/>
      </c>
      <c r="J39" s="9" t="str">
        <f t="shared" ref="J39" si="6">IFERROR(J38/J36,"")</f>
        <v/>
      </c>
      <c r="K39" s="9" t="str">
        <f t="shared" ref="K39" si="7">IFERROR(K38/K36,"")</f>
        <v/>
      </c>
      <c r="L39" s="9" t="str">
        <f t="shared" ref="L39" si="8">IFERROR(L38/L36,"")</f>
        <v/>
      </c>
      <c r="M39" s="9" t="str">
        <f t="shared" ref="M39" si="9">IFERROR(M38/M36,"")</f>
        <v/>
      </c>
      <c r="N39" s="9" t="str">
        <f t="shared" ref="N39" si="10">IFERROR(N38/N36,"")</f>
        <v/>
      </c>
      <c r="O39" s="9" t="str">
        <f t="shared" ref="O39" si="11">IFERROR(O38/O36,"")</f>
        <v/>
      </c>
      <c r="P39" s="9" t="str">
        <f t="shared" ref="P39" si="12">IFERROR(P38/P36,"")</f>
        <v/>
      </c>
      <c r="Q39" s="9" t="str">
        <f t="shared" ref="Q39" si="13">IFERROR(Q38/Q36,"")</f>
        <v/>
      </c>
      <c r="R39" s="9" t="str">
        <f t="shared" ref="R39" si="14">IFERROR(R38/R36,"")</f>
        <v/>
      </c>
      <c r="S39" s="9" t="str">
        <f t="shared" ref="S39" si="15">IFERROR(S38/S36,"")</f>
        <v/>
      </c>
    </row>
  </sheetData>
  <phoneticPr fontId="1" type="noConversion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65926-B04F-4EC4-8054-84D50F927DE0}">
  <dimension ref="A2:Q35"/>
  <sheetViews>
    <sheetView workbookViewId="0">
      <selection activeCell="B3" sqref="B3"/>
    </sheetView>
  </sheetViews>
  <sheetFormatPr defaultRowHeight="15" x14ac:dyDescent="0.25"/>
  <sheetData>
    <row r="2" spans="1:17" x14ac:dyDescent="0.25">
      <c r="A2" t="s">
        <v>66</v>
      </c>
      <c r="B2" s="1">
        <v>44440</v>
      </c>
      <c r="C2" s="1">
        <v>44470</v>
      </c>
      <c r="D2" s="1">
        <v>44501</v>
      </c>
      <c r="E2" s="1">
        <v>44531</v>
      </c>
      <c r="F2" s="1">
        <v>44562</v>
      </c>
      <c r="G2" s="1">
        <v>44593</v>
      </c>
      <c r="H2" s="1">
        <v>44621</v>
      </c>
      <c r="I2" s="1">
        <v>44652</v>
      </c>
      <c r="J2" s="1">
        <v>44682</v>
      </c>
      <c r="K2" s="1">
        <v>44713</v>
      </c>
      <c r="L2" s="1">
        <v>44743</v>
      </c>
      <c r="M2" s="1">
        <v>44774</v>
      </c>
      <c r="N2" s="1">
        <v>44805</v>
      </c>
      <c r="O2" s="1">
        <v>44835</v>
      </c>
      <c r="P2" s="1">
        <v>44866</v>
      </c>
      <c r="Q2" s="1">
        <v>44896</v>
      </c>
    </row>
    <row r="3" spans="1:17" x14ac:dyDescent="0.25">
      <c r="A3" t="str">
        <f>Départs!A6</f>
        <v>AM</v>
      </c>
    </row>
    <row r="4" spans="1:17" x14ac:dyDescent="0.25">
      <c r="A4" t="str">
        <f>Départs!A7</f>
        <v>AO</v>
      </c>
    </row>
    <row r="5" spans="1:17" x14ac:dyDescent="0.25">
      <c r="A5" t="str">
        <f>Départs!A8</f>
        <v>BF</v>
      </c>
    </row>
    <row r="6" spans="1:17" x14ac:dyDescent="0.25">
      <c r="A6" t="str">
        <f>Départs!A9</f>
        <v>CD</v>
      </c>
    </row>
    <row r="7" spans="1:17" x14ac:dyDescent="0.25">
      <c r="A7" t="str">
        <f>Départs!A10</f>
        <v>CM</v>
      </c>
    </row>
    <row r="8" spans="1:17" x14ac:dyDescent="0.25">
      <c r="A8" t="str">
        <f>Départs!A11</f>
        <v>GR</v>
      </c>
    </row>
    <row r="9" spans="1:17" x14ac:dyDescent="0.25">
      <c r="A9" t="str">
        <f>Départs!A12</f>
        <v>GT</v>
      </c>
    </row>
    <row r="10" spans="1:17" x14ac:dyDescent="0.25">
      <c r="A10" t="str">
        <f>Départs!A13</f>
        <v>HN</v>
      </c>
    </row>
    <row r="11" spans="1:17" x14ac:dyDescent="0.25">
      <c r="A11" t="str">
        <f>Départs!A14</f>
        <v>IQ</v>
      </c>
    </row>
    <row r="12" spans="1:17" x14ac:dyDescent="0.25">
      <c r="A12" t="str">
        <f>Départs!A15</f>
        <v>IR</v>
      </c>
    </row>
    <row r="13" spans="1:17" x14ac:dyDescent="0.25">
      <c r="A13" t="str">
        <f>Départs!A16</f>
        <v>JO</v>
      </c>
    </row>
    <row r="14" spans="1:17" x14ac:dyDescent="0.25">
      <c r="A14" t="str">
        <f>Départs!A17</f>
        <v>KE</v>
      </c>
    </row>
    <row r="15" spans="1:17" x14ac:dyDescent="0.25">
      <c r="A15" t="str">
        <f>Départs!A18</f>
        <v>KG</v>
      </c>
    </row>
    <row r="16" spans="1:17" x14ac:dyDescent="0.25">
      <c r="A16" t="str">
        <f>Départs!A19</f>
        <v>LB</v>
      </c>
    </row>
    <row r="17" spans="1:1" x14ac:dyDescent="0.25">
      <c r="A17" t="str">
        <f>Départs!A20</f>
        <v>MG</v>
      </c>
    </row>
    <row r="18" spans="1:1" x14ac:dyDescent="0.25">
      <c r="A18" t="str">
        <f>Départs!A21</f>
        <v>MM</v>
      </c>
    </row>
    <row r="19" spans="1:1" x14ac:dyDescent="0.25">
      <c r="A19" t="str">
        <f>Départs!A22</f>
        <v>MX</v>
      </c>
    </row>
    <row r="20" spans="1:1" x14ac:dyDescent="0.25">
      <c r="A20" t="str">
        <f>Départs!A23</f>
        <v>MZ</v>
      </c>
    </row>
    <row r="21" spans="1:1" x14ac:dyDescent="0.25">
      <c r="A21" t="str">
        <f>Départs!A24</f>
        <v>NE</v>
      </c>
    </row>
    <row r="22" spans="1:1" x14ac:dyDescent="0.25">
      <c r="A22" t="str">
        <f>Départs!A25</f>
        <v>NG</v>
      </c>
    </row>
    <row r="23" spans="1:1" x14ac:dyDescent="0.25">
      <c r="A23" t="str">
        <f>Départs!A26</f>
        <v>SD</v>
      </c>
    </row>
    <row r="24" spans="1:1" x14ac:dyDescent="0.25">
      <c r="A24" t="str">
        <f>Départs!A27</f>
        <v>SN</v>
      </c>
    </row>
    <row r="25" spans="1:1" x14ac:dyDescent="0.25">
      <c r="A25" t="str">
        <f>Départs!A28</f>
        <v>SO</v>
      </c>
    </row>
    <row r="26" spans="1:1" x14ac:dyDescent="0.25">
      <c r="A26" t="str">
        <f>Départs!A29</f>
        <v>SS</v>
      </c>
    </row>
    <row r="27" spans="1:1" x14ac:dyDescent="0.25">
      <c r="A27" t="str">
        <f>Départs!A30</f>
        <v>SZ</v>
      </c>
    </row>
    <row r="28" spans="1:1" x14ac:dyDescent="0.25">
      <c r="A28" t="str">
        <f>Départs!A31</f>
        <v>TD</v>
      </c>
    </row>
    <row r="29" spans="1:1" x14ac:dyDescent="0.25">
      <c r="A29" t="str">
        <f>Départs!A32</f>
        <v>TZ</v>
      </c>
    </row>
    <row r="30" spans="1:1" x14ac:dyDescent="0.25">
      <c r="A30" t="str">
        <f>Départs!A33</f>
        <v>UA</v>
      </c>
    </row>
    <row r="31" spans="1:1" x14ac:dyDescent="0.25">
      <c r="A31" t="str">
        <f>Départs!A34</f>
        <v>UG</v>
      </c>
    </row>
    <row r="32" spans="1:1" x14ac:dyDescent="0.25">
      <c r="A32" t="str">
        <f>Départs!A35</f>
        <v>YE</v>
      </c>
    </row>
    <row r="33" spans="1:1" x14ac:dyDescent="0.25">
      <c r="A33">
        <f>Départs!A36</f>
        <v>0</v>
      </c>
    </row>
    <row r="34" spans="1:1" x14ac:dyDescent="0.25">
      <c r="A34" t="str">
        <f>Départs!A37</f>
        <v>Départs réalisés</v>
      </c>
    </row>
    <row r="35" spans="1:1" x14ac:dyDescent="0.25">
      <c r="A35">
        <f>Départs!A38</f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C3E77-AC19-4979-B7D1-6769CC8E3E3A}">
  <sheetPr>
    <tabColor rgb="FF00B050"/>
  </sheetPr>
  <dimension ref="A1:AG35"/>
  <sheetViews>
    <sheetView zoomScale="90" zoomScaleNormal="90" workbookViewId="0">
      <selection activeCell="B5" sqref="B5"/>
    </sheetView>
  </sheetViews>
  <sheetFormatPr defaultRowHeight="15" outlineLevelCol="1" x14ac:dyDescent="0.25"/>
  <cols>
    <col min="1" max="1" width="9.5703125" customWidth="1"/>
    <col min="2" max="2" width="16.7109375" customWidth="1" outlineLevel="1"/>
    <col min="3" max="3" width="12.5703125" customWidth="1" outlineLevel="1"/>
    <col min="4" max="4" width="16.7109375" customWidth="1" outlineLevel="1"/>
    <col min="5" max="5" width="12.5703125" customWidth="1" outlineLevel="1"/>
    <col min="6" max="6" width="16.7109375" customWidth="1" outlineLevel="1"/>
    <col min="7" max="7" width="12.5703125" customWidth="1" outlineLevel="1"/>
    <col min="8" max="8" width="16.7109375" customWidth="1" outlineLevel="1"/>
    <col min="9" max="9" width="12.5703125" customWidth="1" outlineLevel="1"/>
    <col min="10" max="10" width="16.5703125" customWidth="1" outlineLevel="1"/>
    <col min="11" max="11" width="12.5703125" customWidth="1" outlineLevel="1"/>
    <col min="12" max="12" width="16.7109375" customWidth="1" outlineLevel="1"/>
    <col min="13" max="13" width="12.5703125" customWidth="1" outlineLevel="1"/>
    <col min="14" max="14" width="16.7109375" customWidth="1" outlineLevel="1"/>
    <col min="15" max="15" width="12.5703125" customWidth="1" outlineLevel="1"/>
    <col min="16" max="16" width="12.5703125" style="20" customWidth="1"/>
    <col min="17" max="17" width="23.28515625" customWidth="1"/>
    <col min="18" max="18" width="9.140625" customWidth="1"/>
  </cols>
  <sheetData>
    <row r="1" spans="1:33" ht="26.25" x14ac:dyDescent="0.4">
      <c r="A1" s="15" t="s">
        <v>75</v>
      </c>
    </row>
    <row r="2" spans="1:33" x14ac:dyDescent="0.25">
      <c r="A2" s="46">
        <v>1</v>
      </c>
      <c r="B2" s="46">
        <v>2</v>
      </c>
      <c r="C2" s="46">
        <v>3</v>
      </c>
      <c r="D2" s="46">
        <v>4</v>
      </c>
      <c r="E2" s="46">
        <v>5</v>
      </c>
      <c r="F2" s="46">
        <v>6</v>
      </c>
      <c r="G2" s="46">
        <v>7</v>
      </c>
      <c r="H2" s="46">
        <v>8</v>
      </c>
      <c r="I2" s="46">
        <v>9</v>
      </c>
      <c r="J2" s="46">
        <v>10</v>
      </c>
      <c r="K2" s="46">
        <v>11</v>
      </c>
      <c r="L2" s="46">
        <v>12</v>
      </c>
      <c r="M2" s="46">
        <v>13</v>
      </c>
      <c r="N2" s="46">
        <v>14</v>
      </c>
      <c r="O2" s="46">
        <v>15</v>
      </c>
      <c r="P2" s="46">
        <v>16</v>
      </c>
      <c r="Q2" s="46">
        <v>17</v>
      </c>
      <c r="R2" s="46">
        <v>18</v>
      </c>
      <c r="S2" s="46">
        <v>19</v>
      </c>
      <c r="T2" s="46">
        <v>20</v>
      </c>
      <c r="U2" s="46">
        <v>21</v>
      </c>
      <c r="V2" s="46">
        <v>22</v>
      </c>
      <c r="W2" s="46">
        <v>23</v>
      </c>
      <c r="X2" s="46">
        <v>24</v>
      </c>
      <c r="Y2" s="46">
        <v>25</v>
      </c>
      <c r="Z2" s="46">
        <v>26</v>
      </c>
      <c r="AA2" s="46">
        <v>27</v>
      </c>
      <c r="AB2" s="46">
        <v>28</v>
      </c>
      <c r="AC2" s="46">
        <v>29</v>
      </c>
      <c r="AD2" s="46">
        <v>30</v>
      </c>
      <c r="AE2" s="46">
        <v>31</v>
      </c>
      <c r="AF2" s="46">
        <v>32</v>
      </c>
      <c r="AG2" s="46">
        <v>33</v>
      </c>
    </row>
    <row r="3" spans="1:33" s="30" customFormat="1" x14ac:dyDescent="0.25">
      <c r="A3" s="27" t="s">
        <v>4</v>
      </c>
      <c r="B3" s="28"/>
      <c r="C3" s="28">
        <v>0.2</v>
      </c>
      <c r="D3" s="28"/>
      <c r="E3" s="28">
        <v>0.2</v>
      </c>
      <c r="F3" s="28"/>
      <c r="G3" s="28">
        <v>0.2</v>
      </c>
      <c r="H3" s="28"/>
      <c r="I3" s="28">
        <v>0.4</v>
      </c>
      <c r="J3" s="28"/>
      <c r="K3" s="28">
        <v>0.2</v>
      </c>
      <c r="L3" s="28"/>
      <c r="M3" s="28">
        <v>0.2</v>
      </c>
      <c r="N3" s="28"/>
      <c r="O3" s="28">
        <v>0.2</v>
      </c>
      <c r="P3" s="29"/>
    </row>
    <row r="4" spans="1:33" s="13" customFormat="1" ht="82.5" customHeight="1" x14ac:dyDescent="0.25">
      <c r="A4" s="10" t="s">
        <v>1</v>
      </c>
      <c r="B4" s="11" t="s">
        <v>81</v>
      </c>
      <c r="C4" s="11" t="s">
        <v>82</v>
      </c>
      <c r="D4" s="11" t="s">
        <v>83</v>
      </c>
      <c r="E4" s="11" t="s">
        <v>84</v>
      </c>
      <c r="F4" s="11" t="s">
        <v>85</v>
      </c>
      <c r="G4" s="11" t="s">
        <v>86</v>
      </c>
      <c r="H4" s="12" t="s">
        <v>87</v>
      </c>
      <c r="I4" s="11" t="s">
        <v>88</v>
      </c>
      <c r="J4" s="11" t="s">
        <v>89</v>
      </c>
      <c r="K4" s="11" t="s">
        <v>90</v>
      </c>
      <c r="L4" s="11" t="s">
        <v>91</v>
      </c>
      <c r="M4" s="11" t="s">
        <v>92</v>
      </c>
      <c r="N4" s="11" t="s">
        <v>93</v>
      </c>
      <c r="O4" s="11" t="s">
        <v>94</v>
      </c>
      <c r="P4" s="39" t="s">
        <v>70</v>
      </c>
      <c r="Q4" s="40" t="s">
        <v>71</v>
      </c>
      <c r="R4" s="38" t="s">
        <v>5</v>
      </c>
      <c r="S4" s="38" t="s">
        <v>6</v>
      </c>
      <c r="T4" s="38" t="s">
        <v>7</v>
      </c>
      <c r="U4" s="38" t="s">
        <v>8</v>
      </c>
      <c r="V4" s="38" t="s">
        <v>9</v>
      </c>
      <c r="W4" s="38" t="s">
        <v>68</v>
      </c>
      <c r="X4" s="38" t="s">
        <v>69</v>
      </c>
      <c r="Y4" s="38" t="s">
        <v>12</v>
      </c>
      <c r="Z4" s="38" t="s">
        <v>13</v>
      </c>
      <c r="AA4" s="38" t="s">
        <v>14</v>
      </c>
      <c r="AB4" s="38" t="s">
        <v>15</v>
      </c>
      <c r="AC4" s="38" t="s">
        <v>16</v>
      </c>
      <c r="AD4" s="38" t="s">
        <v>17</v>
      </c>
      <c r="AE4" s="38" t="s">
        <v>18</v>
      </c>
      <c r="AF4" s="38" t="s">
        <v>19</v>
      </c>
      <c r="AG4" s="41" t="s">
        <v>20</v>
      </c>
    </row>
    <row r="5" spans="1:33" x14ac:dyDescent="0.25">
      <c r="A5" s="21" t="s">
        <v>49</v>
      </c>
      <c r="B5" s="22" t="s">
        <v>72</v>
      </c>
      <c r="C5" s="22">
        <f>IF(B5="OUI",C$3,0)</f>
        <v>0.2</v>
      </c>
      <c r="D5" s="22" t="s">
        <v>72</v>
      </c>
      <c r="E5" s="22">
        <v>1</v>
      </c>
      <c r="F5" s="22" t="s">
        <v>73</v>
      </c>
      <c r="G5" s="22">
        <f>IF(F5="OUI",G$3,0)</f>
        <v>0</v>
      </c>
      <c r="H5" s="22" t="s">
        <v>73</v>
      </c>
      <c r="I5" s="22">
        <f>IF(H5="OUI",I$3,0)</f>
        <v>0</v>
      </c>
      <c r="J5" s="22" t="s">
        <v>73</v>
      </c>
      <c r="K5" s="22">
        <f t="shared" ref="K5:K35" si="0">IF(J5="OUI",K$3,0)</f>
        <v>0</v>
      </c>
      <c r="L5" s="22" t="s">
        <v>72</v>
      </c>
      <c r="M5" s="22">
        <f>IF(L5="OUI",M$3,0)</f>
        <v>0.2</v>
      </c>
      <c r="N5" s="22" t="s">
        <v>72</v>
      </c>
      <c r="O5" s="22">
        <f>IF(N5="OUI",O$3,0)</f>
        <v>0.2</v>
      </c>
      <c r="P5" s="42">
        <f>Table4[[#This Row],[Impact 7]]+Table4[[#This Row],[Impact 6]]+Table4[[#This Row],[Impact 4]]+Table4[[#This Row],[Impact 3]]+Table4[[#This Row],[Impact 5]]+Table4[[#This Row],[Impact 2]]+Table4[[#This Row],[Impact 1]]+1</f>
        <v>2.5999999999999996</v>
      </c>
      <c r="Q5" s="32"/>
      <c r="R5" s="32">
        <v>2.5999999999999996</v>
      </c>
      <c r="S5" s="32">
        <v>2.5999999999999996</v>
      </c>
      <c r="T5" s="32">
        <v>2.5999999999999996</v>
      </c>
      <c r="U5" s="32">
        <v>2.5999999999999996</v>
      </c>
      <c r="V5" s="32">
        <v>2.5999999999999996</v>
      </c>
      <c r="W5" s="32">
        <v>2.5999999999999996</v>
      </c>
      <c r="X5" s="32"/>
      <c r="Y5" s="32"/>
      <c r="Z5" s="32"/>
      <c r="AA5" s="32"/>
      <c r="AB5" s="32"/>
      <c r="AC5" s="32"/>
      <c r="AD5" s="32"/>
      <c r="AE5" s="32"/>
      <c r="AF5" s="32"/>
      <c r="AG5" s="23"/>
    </row>
    <row r="6" spans="1:33" x14ac:dyDescent="0.25">
      <c r="A6" s="21" t="s">
        <v>33</v>
      </c>
      <c r="B6" s="22" t="s">
        <v>72</v>
      </c>
      <c r="C6" s="22">
        <f t="shared" ref="C6:C8" si="1">IF(B6="OUI",C$3,0)</f>
        <v>0.2</v>
      </c>
      <c r="D6" s="22" t="s">
        <v>72</v>
      </c>
      <c r="E6" s="22">
        <f t="shared" ref="E6:E8" si="2">IF(D6="OUI",E$3,0)</f>
        <v>0.2</v>
      </c>
      <c r="F6" s="22" t="s">
        <v>73</v>
      </c>
      <c r="G6" s="22">
        <f t="shared" ref="G6:G8" si="3">IF(F6="OUI",G$3,0)</f>
        <v>0</v>
      </c>
      <c r="H6" s="22" t="s">
        <v>73</v>
      </c>
      <c r="I6" s="22">
        <f t="shared" ref="I6:I8" si="4">IF(H6="OUI",I$3,0)</f>
        <v>0</v>
      </c>
      <c r="J6" s="22" t="s">
        <v>73</v>
      </c>
      <c r="K6" s="22">
        <f t="shared" si="0"/>
        <v>0</v>
      </c>
      <c r="L6" s="22" t="s">
        <v>72</v>
      </c>
      <c r="M6" s="22">
        <f t="shared" ref="M6:M8" si="5">IF(L6="OUI",M$3,0)</f>
        <v>0.2</v>
      </c>
      <c r="N6" s="22" t="s">
        <v>73</v>
      </c>
      <c r="O6" s="22">
        <f t="shared" ref="O6:O8" si="6">IF(N6="OUI",O$3,0)</f>
        <v>0</v>
      </c>
      <c r="P6" s="42">
        <f>Table4[[#This Row],[Impact 7]]+Table4[[#This Row],[Impact 6]]+Table4[[#This Row],[Impact 4]]+Table4[[#This Row],[Impact 3]]+Table4[[#This Row],[Impact 5]]+Table4[[#This Row],[Impact 2]]+Table4[[#This Row],[Impact 1]]+1</f>
        <v>1.6</v>
      </c>
      <c r="Q6" s="32"/>
      <c r="R6" s="32">
        <v>1.6</v>
      </c>
      <c r="S6" s="32">
        <v>1.6</v>
      </c>
      <c r="T6" s="32">
        <v>1.6</v>
      </c>
      <c r="U6" s="32">
        <v>1.6</v>
      </c>
      <c r="V6" s="32">
        <v>1.6</v>
      </c>
      <c r="W6" s="32">
        <v>1.6</v>
      </c>
      <c r="X6" s="32"/>
      <c r="Y6" s="32"/>
      <c r="Z6" s="32"/>
      <c r="AA6" s="32"/>
      <c r="AB6" s="32"/>
      <c r="AC6" s="32"/>
      <c r="AD6" s="32"/>
      <c r="AE6" s="32"/>
      <c r="AF6" s="32"/>
      <c r="AG6" s="23"/>
    </row>
    <row r="7" spans="1:33" x14ac:dyDescent="0.25">
      <c r="A7" s="21" t="s">
        <v>35</v>
      </c>
      <c r="B7" s="22" t="s">
        <v>72</v>
      </c>
      <c r="C7" s="22">
        <f t="shared" si="1"/>
        <v>0.2</v>
      </c>
      <c r="D7" s="22" t="s">
        <v>73</v>
      </c>
      <c r="E7" s="22">
        <f t="shared" si="2"/>
        <v>0</v>
      </c>
      <c r="F7" s="22" t="s">
        <v>72</v>
      </c>
      <c r="G7" s="22">
        <f t="shared" si="3"/>
        <v>0.2</v>
      </c>
      <c r="H7" s="22" t="s">
        <v>73</v>
      </c>
      <c r="I7" s="22">
        <f t="shared" si="4"/>
        <v>0</v>
      </c>
      <c r="J7" s="22" t="s">
        <v>73</v>
      </c>
      <c r="K7" s="22">
        <f t="shared" si="0"/>
        <v>0</v>
      </c>
      <c r="L7" s="22" t="s">
        <v>72</v>
      </c>
      <c r="M7" s="22">
        <f t="shared" si="5"/>
        <v>0.2</v>
      </c>
      <c r="N7" s="22" t="s">
        <v>72</v>
      </c>
      <c r="O7" s="22">
        <f t="shared" si="6"/>
        <v>0.2</v>
      </c>
      <c r="P7" s="42">
        <f>Table4[[#This Row],[Impact 7]]+Table4[[#This Row],[Impact 6]]+Table4[[#This Row],[Impact 4]]+Table4[[#This Row],[Impact 3]]+Table4[[#This Row],[Impact 5]]+Table4[[#This Row],[Impact 2]]+Table4[[#This Row],[Impact 1]]+1</f>
        <v>1.8</v>
      </c>
      <c r="Q7" s="32"/>
      <c r="R7" s="32">
        <v>1.8</v>
      </c>
      <c r="S7" s="32">
        <v>1.8</v>
      </c>
      <c r="T7" s="32">
        <v>1.8</v>
      </c>
      <c r="U7" s="32">
        <v>1.8</v>
      </c>
      <c r="V7" s="32">
        <v>1.8</v>
      </c>
      <c r="W7" s="32">
        <v>1.8</v>
      </c>
      <c r="X7" s="32"/>
      <c r="Y7" s="32"/>
      <c r="Z7" s="32"/>
      <c r="AA7" s="32"/>
      <c r="AB7" s="32"/>
      <c r="AC7" s="32"/>
      <c r="AD7" s="32"/>
      <c r="AE7" s="32"/>
      <c r="AF7" s="32"/>
      <c r="AG7" s="23"/>
    </row>
    <row r="8" spans="1:33" x14ac:dyDescent="0.25">
      <c r="A8" s="21" t="s">
        <v>51</v>
      </c>
      <c r="B8" s="22" t="s">
        <v>72</v>
      </c>
      <c r="C8" s="22">
        <f t="shared" si="1"/>
        <v>0.2</v>
      </c>
      <c r="D8" s="22" t="s">
        <v>72</v>
      </c>
      <c r="E8" s="22">
        <f t="shared" si="2"/>
        <v>0.2</v>
      </c>
      <c r="F8" s="22" t="s">
        <v>73</v>
      </c>
      <c r="G8" s="22">
        <f t="shared" si="3"/>
        <v>0</v>
      </c>
      <c r="H8" s="22" t="s">
        <v>73</v>
      </c>
      <c r="I8" s="22">
        <f t="shared" si="4"/>
        <v>0</v>
      </c>
      <c r="J8" s="22" t="s">
        <v>72</v>
      </c>
      <c r="K8" s="22">
        <f t="shared" si="0"/>
        <v>0.2</v>
      </c>
      <c r="L8" s="22" t="s">
        <v>73</v>
      </c>
      <c r="M8" s="22">
        <f t="shared" si="5"/>
        <v>0</v>
      </c>
      <c r="N8" s="22" t="s">
        <v>73</v>
      </c>
      <c r="O8" s="22">
        <f t="shared" si="6"/>
        <v>0</v>
      </c>
      <c r="P8" s="42">
        <f>Table4[[#This Row],[Impact 7]]+Table4[[#This Row],[Impact 6]]+Table4[[#This Row],[Impact 4]]+Table4[[#This Row],[Impact 3]]+Table4[[#This Row],[Impact 5]]+Table4[[#This Row],[Impact 2]]+Table4[[#This Row],[Impact 1]]+1</f>
        <v>1.6</v>
      </c>
      <c r="Q8" s="32"/>
      <c r="R8" s="32">
        <v>1.6</v>
      </c>
      <c r="S8" s="32">
        <v>1.6</v>
      </c>
      <c r="T8" s="32">
        <v>1.6</v>
      </c>
      <c r="U8" s="32">
        <v>1.6</v>
      </c>
      <c r="V8" s="32">
        <v>1.6</v>
      </c>
      <c r="W8" s="32">
        <v>1.6</v>
      </c>
      <c r="X8" s="32"/>
      <c r="Y8" s="32"/>
      <c r="Z8" s="32"/>
      <c r="AA8" s="32"/>
      <c r="AB8" s="32"/>
      <c r="AC8" s="32"/>
      <c r="AD8" s="32"/>
      <c r="AE8" s="32"/>
      <c r="AF8" s="32"/>
      <c r="AG8" s="23"/>
    </row>
    <row r="9" spans="1:33" x14ac:dyDescent="0.25">
      <c r="A9" s="21" t="s">
        <v>43</v>
      </c>
      <c r="B9" s="22" t="s">
        <v>72</v>
      </c>
      <c r="C9" s="22">
        <f>IF(B9="OUI",C$3,0)</f>
        <v>0.2</v>
      </c>
      <c r="D9" s="22" t="s">
        <v>72</v>
      </c>
      <c r="E9" s="22">
        <f>IF(D9="OUI",E$3,0)</f>
        <v>0.2</v>
      </c>
      <c r="F9" s="22" t="s">
        <v>73</v>
      </c>
      <c r="G9" s="22">
        <f>IF(F9="OUI",G$3,0)</f>
        <v>0</v>
      </c>
      <c r="H9" s="22" t="s">
        <v>73</v>
      </c>
      <c r="I9" s="22">
        <f>IF(H9="OUI",I$3,0)</f>
        <v>0</v>
      </c>
      <c r="J9" s="22" t="s">
        <v>73</v>
      </c>
      <c r="K9" s="22">
        <f t="shared" si="0"/>
        <v>0</v>
      </c>
      <c r="L9" s="22" t="s">
        <v>73</v>
      </c>
      <c r="M9" s="22">
        <f>IF(L9="OUI",M$3,0)</f>
        <v>0</v>
      </c>
      <c r="N9" s="22" t="s">
        <v>72</v>
      </c>
      <c r="O9" s="22">
        <v>0.6</v>
      </c>
      <c r="P9" s="42">
        <f>Table4[[#This Row],[Impact 7]]+Table4[[#This Row],[Impact 6]]+Table4[[#This Row],[Impact 4]]+Table4[[#This Row],[Impact 3]]+Table4[[#This Row],[Impact 5]]+Table4[[#This Row],[Impact 2]]+Table4[[#This Row],[Impact 1]]+1</f>
        <v>2</v>
      </c>
      <c r="Q9" s="32"/>
      <c r="R9" s="32">
        <v>2</v>
      </c>
      <c r="S9" s="32">
        <v>2</v>
      </c>
      <c r="T9" s="32">
        <v>2</v>
      </c>
      <c r="U9" s="32">
        <v>2</v>
      </c>
      <c r="V9" s="32">
        <v>2</v>
      </c>
      <c r="W9" s="32">
        <v>2</v>
      </c>
      <c r="X9" s="32"/>
      <c r="Y9" s="32"/>
      <c r="Z9" s="32"/>
      <c r="AA9" s="32"/>
      <c r="AB9" s="32"/>
      <c r="AC9" s="32"/>
      <c r="AD9" s="32"/>
      <c r="AE9" s="32"/>
      <c r="AF9" s="32"/>
      <c r="AG9" s="23"/>
    </row>
    <row r="10" spans="1:33" x14ac:dyDescent="0.25">
      <c r="A10" s="21" t="s">
        <v>52</v>
      </c>
      <c r="B10" s="22" t="s">
        <v>72</v>
      </c>
      <c r="C10" s="22">
        <f>IF(B10="OUI",C$3,0)</f>
        <v>0.2</v>
      </c>
      <c r="D10" s="22" t="s">
        <v>72</v>
      </c>
      <c r="E10" s="22">
        <f>IF(D10="OUI",E$3,0)</f>
        <v>0.2</v>
      </c>
      <c r="F10" s="22" t="s">
        <v>72</v>
      </c>
      <c r="G10" s="22">
        <v>0.4</v>
      </c>
      <c r="H10" s="22" t="s">
        <v>73</v>
      </c>
      <c r="I10" s="22">
        <f>IF(H10="OUI",I$3,0)</f>
        <v>0</v>
      </c>
      <c r="J10" s="22" t="s">
        <v>72</v>
      </c>
      <c r="K10" s="22">
        <f t="shared" si="0"/>
        <v>0.2</v>
      </c>
      <c r="L10" s="22" t="s">
        <v>72</v>
      </c>
      <c r="M10" s="22">
        <f>IF(L10="OUI",M$3,0)</f>
        <v>0.2</v>
      </c>
      <c r="N10" s="22" t="s">
        <v>72</v>
      </c>
      <c r="O10" s="22">
        <f>IF(N10="OUI",O$3,0)</f>
        <v>0.2</v>
      </c>
      <c r="P10" s="42">
        <f>Table4[[#This Row],[Impact 7]]+Table4[[#This Row],[Impact 6]]+Table4[[#This Row],[Impact 4]]+Table4[[#This Row],[Impact 3]]+Table4[[#This Row],[Impact 5]]+Table4[[#This Row],[Impact 2]]+Table4[[#This Row],[Impact 1]]+1</f>
        <v>2.4</v>
      </c>
      <c r="Q10" s="32"/>
      <c r="R10" s="32">
        <v>2.4</v>
      </c>
      <c r="S10" s="32">
        <v>2.4</v>
      </c>
      <c r="T10" s="32">
        <v>2.4</v>
      </c>
      <c r="U10" s="32">
        <v>2.4</v>
      </c>
      <c r="V10" s="32">
        <v>2.4</v>
      </c>
      <c r="W10" s="32">
        <v>2.4</v>
      </c>
      <c r="X10" s="32"/>
      <c r="Y10" s="32"/>
      <c r="Z10" s="32"/>
      <c r="AA10" s="32"/>
      <c r="AB10" s="32"/>
      <c r="AC10" s="32"/>
      <c r="AD10" s="32"/>
      <c r="AE10" s="32"/>
      <c r="AF10" s="32"/>
      <c r="AG10" s="23"/>
    </row>
    <row r="11" spans="1:33" x14ac:dyDescent="0.25">
      <c r="A11" s="21" t="s">
        <v>38</v>
      </c>
      <c r="B11" s="22" t="s">
        <v>73</v>
      </c>
      <c r="C11" s="22">
        <f t="shared" ref="C11:C35" si="7">IF(B11="OUI",C$3,0)</f>
        <v>0</v>
      </c>
      <c r="D11" s="22" t="s">
        <v>73</v>
      </c>
      <c r="E11" s="22">
        <f t="shared" ref="E11:E35" si="8">IF(D11="OUI",E$3,0)</f>
        <v>0</v>
      </c>
      <c r="F11" s="22" t="s">
        <v>73</v>
      </c>
      <c r="G11" s="22">
        <f t="shared" ref="G11:G35" si="9">IF(F11="OUI",G$3,0)</f>
        <v>0</v>
      </c>
      <c r="H11" s="22" t="s">
        <v>73</v>
      </c>
      <c r="I11" s="22">
        <f t="shared" ref="I11:I35" si="10">IF(H11="OUI",I$3,0)</f>
        <v>0</v>
      </c>
      <c r="J11" s="22" t="s">
        <v>73</v>
      </c>
      <c r="K11" s="22">
        <f t="shared" si="0"/>
        <v>0</v>
      </c>
      <c r="L11" s="22" t="s">
        <v>73</v>
      </c>
      <c r="M11" s="22">
        <f t="shared" ref="M11:M35" si="11">IF(L11="OUI",M$3,0)</f>
        <v>0</v>
      </c>
      <c r="N11" s="22" t="s">
        <v>73</v>
      </c>
      <c r="O11" s="22">
        <f t="shared" ref="O11:O34" si="12">IF(N11="OUI",O$3,0)</f>
        <v>0</v>
      </c>
      <c r="P11" s="42">
        <f>Table4[[#This Row],[Impact 7]]+Table4[[#This Row],[Impact 6]]+Table4[[#This Row],[Impact 4]]+Table4[[#This Row],[Impact 3]]+Table4[[#This Row],[Impact 5]]+Table4[[#This Row],[Impact 2]]+Table4[[#This Row],[Impact 1]]+1</f>
        <v>1</v>
      </c>
      <c r="Q11" s="32"/>
      <c r="R11" s="32">
        <v>1</v>
      </c>
      <c r="S11" s="32">
        <v>1</v>
      </c>
      <c r="T11" s="32">
        <v>1</v>
      </c>
      <c r="U11" s="32">
        <v>1</v>
      </c>
      <c r="V11" s="32">
        <v>1</v>
      </c>
      <c r="W11" s="32">
        <v>1</v>
      </c>
      <c r="X11" s="32"/>
      <c r="Y11" s="32"/>
      <c r="Z11" s="32"/>
      <c r="AA11" s="32"/>
      <c r="AB11" s="32"/>
      <c r="AC11" s="32"/>
      <c r="AD11" s="32"/>
      <c r="AE11" s="32"/>
      <c r="AF11" s="32"/>
      <c r="AG11" s="23"/>
    </row>
    <row r="12" spans="1:33" x14ac:dyDescent="0.25">
      <c r="A12" s="21" t="s">
        <v>45</v>
      </c>
      <c r="B12" s="22" t="s">
        <v>73</v>
      </c>
      <c r="C12" s="22">
        <f t="shared" si="7"/>
        <v>0</v>
      </c>
      <c r="D12" s="22" t="s">
        <v>73</v>
      </c>
      <c r="E12" s="22">
        <f t="shared" si="8"/>
        <v>0</v>
      </c>
      <c r="F12" s="22" t="s">
        <v>73</v>
      </c>
      <c r="G12" s="22">
        <f t="shared" si="9"/>
        <v>0</v>
      </c>
      <c r="H12" s="22" t="s">
        <v>73</v>
      </c>
      <c r="I12" s="22">
        <f t="shared" si="10"/>
        <v>0</v>
      </c>
      <c r="J12" s="22" t="s">
        <v>73</v>
      </c>
      <c r="K12" s="22">
        <f t="shared" si="0"/>
        <v>0</v>
      </c>
      <c r="L12" s="22" t="s">
        <v>73</v>
      </c>
      <c r="M12" s="22">
        <f t="shared" si="11"/>
        <v>0</v>
      </c>
      <c r="N12" s="22" t="s">
        <v>73</v>
      </c>
      <c r="O12" s="22">
        <f t="shared" si="12"/>
        <v>0</v>
      </c>
      <c r="P12" s="42">
        <f>Table4[[#This Row],[Impact 7]]+Table4[[#This Row],[Impact 6]]+Table4[[#This Row],[Impact 4]]+Table4[[#This Row],[Impact 3]]+Table4[[#This Row],[Impact 5]]+Table4[[#This Row],[Impact 2]]+Table4[[#This Row],[Impact 1]]+1</f>
        <v>1</v>
      </c>
      <c r="Q12" s="32"/>
      <c r="R12" s="32">
        <v>1</v>
      </c>
      <c r="S12" s="32">
        <v>1</v>
      </c>
      <c r="T12" s="32">
        <v>1</v>
      </c>
      <c r="U12" s="32">
        <v>1</v>
      </c>
      <c r="V12" s="32">
        <v>1</v>
      </c>
      <c r="W12" s="32">
        <v>1</v>
      </c>
      <c r="X12" s="32"/>
      <c r="Y12" s="32"/>
      <c r="Z12" s="32"/>
      <c r="AA12" s="32"/>
      <c r="AB12" s="32"/>
      <c r="AC12" s="32"/>
      <c r="AD12" s="32"/>
      <c r="AE12" s="32"/>
      <c r="AF12" s="32"/>
      <c r="AG12" s="23"/>
    </row>
    <row r="13" spans="1:33" x14ac:dyDescent="0.25">
      <c r="A13" s="21" t="s">
        <v>39</v>
      </c>
      <c r="B13" s="22" t="s">
        <v>72</v>
      </c>
      <c r="C13" s="22">
        <f t="shared" si="7"/>
        <v>0.2</v>
      </c>
      <c r="D13" s="22" t="s">
        <v>72</v>
      </c>
      <c r="E13" s="22">
        <f t="shared" si="8"/>
        <v>0.2</v>
      </c>
      <c r="F13" s="22" t="s">
        <v>73</v>
      </c>
      <c r="G13" s="22">
        <f t="shared" si="9"/>
        <v>0</v>
      </c>
      <c r="H13" s="22" t="s">
        <v>73</v>
      </c>
      <c r="I13" s="22">
        <f t="shared" si="10"/>
        <v>0</v>
      </c>
      <c r="J13" s="22" t="s">
        <v>73</v>
      </c>
      <c r="K13" s="22">
        <f t="shared" si="0"/>
        <v>0</v>
      </c>
      <c r="L13" s="22" t="s">
        <v>73</v>
      </c>
      <c r="M13" s="22">
        <f t="shared" si="11"/>
        <v>0</v>
      </c>
      <c r="N13" s="22" t="s">
        <v>73</v>
      </c>
      <c r="O13" s="22">
        <f t="shared" si="12"/>
        <v>0</v>
      </c>
      <c r="P13" s="42">
        <f>Table4[[#This Row],[Impact 7]]+Table4[[#This Row],[Impact 6]]+Table4[[#This Row],[Impact 4]]+Table4[[#This Row],[Impact 3]]+Table4[[#This Row],[Impact 5]]+Table4[[#This Row],[Impact 2]]+Table4[[#This Row],[Impact 1]]+1</f>
        <v>1.4</v>
      </c>
      <c r="Q13" s="32"/>
      <c r="R13" s="32">
        <v>1.4</v>
      </c>
      <c r="S13" s="32">
        <v>1.4</v>
      </c>
      <c r="T13" s="32">
        <v>1.4</v>
      </c>
      <c r="U13" s="32">
        <v>1.4</v>
      </c>
      <c r="V13" s="32">
        <v>1.4</v>
      </c>
      <c r="W13" s="32">
        <v>1.4</v>
      </c>
      <c r="X13" s="32"/>
      <c r="Y13" s="32"/>
      <c r="Z13" s="32"/>
      <c r="AA13" s="32"/>
      <c r="AB13" s="32"/>
      <c r="AC13" s="32"/>
      <c r="AD13" s="32"/>
      <c r="AE13" s="32"/>
      <c r="AF13" s="32"/>
      <c r="AG13" s="23"/>
    </row>
    <row r="14" spans="1:33" x14ac:dyDescent="0.25">
      <c r="A14" s="21" t="s">
        <v>53</v>
      </c>
      <c r="B14" s="22" t="s">
        <v>73</v>
      </c>
      <c r="C14" s="22">
        <f t="shared" si="7"/>
        <v>0</v>
      </c>
      <c r="D14" s="22" t="s">
        <v>73</v>
      </c>
      <c r="E14" s="22">
        <f t="shared" si="8"/>
        <v>0</v>
      </c>
      <c r="F14" s="22" t="s">
        <v>73</v>
      </c>
      <c r="G14" s="22">
        <f t="shared" si="9"/>
        <v>0</v>
      </c>
      <c r="H14" s="22" t="s">
        <v>73</v>
      </c>
      <c r="I14" s="22">
        <f t="shared" si="10"/>
        <v>0</v>
      </c>
      <c r="J14" s="22" t="s">
        <v>73</v>
      </c>
      <c r="K14" s="22">
        <f t="shared" si="0"/>
        <v>0</v>
      </c>
      <c r="L14" s="22" t="s">
        <v>73</v>
      </c>
      <c r="M14" s="22">
        <f t="shared" si="11"/>
        <v>0</v>
      </c>
      <c r="N14" s="22" t="s">
        <v>73</v>
      </c>
      <c r="O14" s="22">
        <f t="shared" si="12"/>
        <v>0</v>
      </c>
      <c r="P14" s="42">
        <f>Table4[[#This Row],[Impact 7]]+Table4[[#This Row],[Impact 6]]+Table4[[#This Row],[Impact 4]]+Table4[[#This Row],[Impact 3]]+Table4[[#This Row],[Impact 5]]+Table4[[#This Row],[Impact 2]]+Table4[[#This Row],[Impact 1]]+1</f>
        <v>1</v>
      </c>
      <c r="Q14" s="32"/>
      <c r="R14" s="32">
        <v>1</v>
      </c>
      <c r="S14" s="32">
        <v>1</v>
      </c>
      <c r="T14" s="32">
        <v>1</v>
      </c>
      <c r="U14" s="32">
        <v>1</v>
      </c>
      <c r="V14" s="32">
        <v>1</v>
      </c>
      <c r="W14" s="32">
        <v>1</v>
      </c>
      <c r="X14" s="32"/>
      <c r="Y14" s="32"/>
      <c r="Z14" s="32"/>
      <c r="AA14" s="32"/>
      <c r="AB14" s="32"/>
      <c r="AC14" s="32"/>
      <c r="AD14" s="32"/>
      <c r="AE14" s="32"/>
      <c r="AF14" s="32"/>
      <c r="AG14" s="23"/>
    </row>
    <row r="15" spans="1:33" x14ac:dyDescent="0.25">
      <c r="A15" s="21" t="s">
        <v>59</v>
      </c>
      <c r="B15" s="22" t="s">
        <v>73</v>
      </c>
      <c r="C15" s="22">
        <f t="shared" si="7"/>
        <v>0</v>
      </c>
      <c r="D15" s="22" t="s">
        <v>73</v>
      </c>
      <c r="E15" s="22">
        <f t="shared" si="8"/>
        <v>0</v>
      </c>
      <c r="F15" s="22" t="s">
        <v>73</v>
      </c>
      <c r="G15" s="22">
        <f t="shared" si="9"/>
        <v>0</v>
      </c>
      <c r="H15" s="22" t="s">
        <v>73</v>
      </c>
      <c r="I15" s="22">
        <f t="shared" si="10"/>
        <v>0</v>
      </c>
      <c r="J15" s="22" t="s">
        <v>73</v>
      </c>
      <c r="K15" s="22">
        <f t="shared" si="0"/>
        <v>0</v>
      </c>
      <c r="L15" s="22" t="s">
        <v>73</v>
      </c>
      <c r="M15" s="22">
        <f t="shared" si="11"/>
        <v>0</v>
      </c>
      <c r="N15" s="22" t="s">
        <v>73</v>
      </c>
      <c r="O15" s="22">
        <f t="shared" si="12"/>
        <v>0</v>
      </c>
      <c r="P15" s="42">
        <f>Table4[[#This Row],[Impact 7]]+Table4[[#This Row],[Impact 6]]+Table4[[#This Row],[Impact 4]]+Table4[[#This Row],[Impact 3]]+Table4[[#This Row],[Impact 5]]+Table4[[#This Row],[Impact 2]]+Table4[[#This Row],[Impact 1]]+1</f>
        <v>1</v>
      </c>
      <c r="Q15" s="32"/>
      <c r="R15" s="32">
        <v>1</v>
      </c>
      <c r="S15" s="32">
        <v>1</v>
      </c>
      <c r="T15" s="32">
        <v>1</v>
      </c>
      <c r="U15" s="32">
        <v>1</v>
      </c>
      <c r="V15" s="32">
        <v>1</v>
      </c>
      <c r="W15" s="32">
        <v>1</v>
      </c>
      <c r="X15" s="32"/>
      <c r="Y15" s="32"/>
      <c r="Z15" s="32"/>
      <c r="AA15" s="32"/>
      <c r="AB15" s="32"/>
      <c r="AC15" s="32"/>
      <c r="AD15" s="32"/>
      <c r="AE15" s="32"/>
      <c r="AF15" s="32"/>
      <c r="AG15" s="23"/>
    </row>
    <row r="16" spans="1:33" x14ac:dyDescent="0.25">
      <c r="A16" s="21" t="s">
        <v>58</v>
      </c>
      <c r="B16" s="22" t="s">
        <v>73</v>
      </c>
      <c r="C16" s="22">
        <f t="shared" si="7"/>
        <v>0</v>
      </c>
      <c r="D16" s="22" t="s">
        <v>73</v>
      </c>
      <c r="E16" s="22">
        <f t="shared" si="8"/>
        <v>0</v>
      </c>
      <c r="F16" s="22" t="s">
        <v>73</v>
      </c>
      <c r="G16" s="22">
        <f t="shared" si="9"/>
        <v>0</v>
      </c>
      <c r="H16" s="22" t="s">
        <v>73</v>
      </c>
      <c r="I16" s="22">
        <f t="shared" si="10"/>
        <v>0</v>
      </c>
      <c r="J16" s="22" t="s">
        <v>73</v>
      </c>
      <c r="K16" s="22">
        <f t="shared" si="0"/>
        <v>0</v>
      </c>
      <c r="L16" s="22" t="s">
        <v>73</v>
      </c>
      <c r="M16" s="22">
        <f t="shared" si="11"/>
        <v>0</v>
      </c>
      <c r="N16" s="22" t="s">
        <v>73</v>
      </c>
      <c r="O16" s="22">
        <f t="shared" si="12"/>
        <v>0</v>
      </c>
      <c r="P16" s="42">
        <f>Table4[[#This Row],[Impact 7]]+Table4[[#This Row],[Impact 6]]+Table4[[#This Row],[Impact 4]]+Table4[[#This Row],[Impact 3]]+Table4[[#This Row],[Impact 5]]+Table4[[#This Row],[Impact 2]]+Table4[[#This Row],[Impact 1]]+1</f>
        <v>1</v>
      </c>
      <c r="Q16" s="32"/>
      <c r="R16" s="32">
        <v>1</v>
      </c>
      <c r="S16" s="32">
        <v>1</v>
      </c>
      <c r="T16" s="32">
        <v>1</v>
      </c>
      <c r="U16" s="32">
        <v>1</v>
      </c>
      <c r="V16" s="32">
        <v>1</v>
      </c>
      <c r="W16" s="32">
        <v>1</v>
      </c>
      <c r="X16" s="32"/>
      <c r="Y16" s="32"/>
      <c r="Z16" s="32"/>
      <c r="AA16" s="32"/>
      <c r="AB16" s="32"/>
      <c r="AC16" s="32"/>
      <c r="AD16" s="32"/>
      <c r="AE16" s="32"/>
      <c r="AF16" s="32"/>
      <c r="AG16" s="23"/>
    </row>
    <row r="17" spans="1:33" x14ac:dyDescent="0.25">
      <c r="A17" s="21" t="s">
        <v>46</v>
      </c>
      <c r="B17" s="22" t="s">
        <v>72</v>
      </c>
      <c r="C17" s="22">
        <f t="shared" si="7"/>
        <v>0.2</v>
      </c>
      <c r="D17" s="22" t="s">
        <v>73</v>
      </c>
      <c r="E17" s="22">
        <f t="shared" si="8"/>
        <v>0</v>
      </c>
      <c r="F17" s="22" t="s">
        <v>72</v>
      </c>
      <c r="G17" s="22">
        <f t="shared" si="9"/>
        <v>0.2</v>
      </c>
      <c r="H17" s="22" t="s">
        <v>73</v>
      </c>
      <c r="I17" s="22">
        <f t="shared" si="10"/>
        <v>0</v>
      </c>
      <c r="J17" s="22" t="s">
        <v>73</v>
      </c>
      <c r="K17" s="22">
        <f t="shared" si="0"/>
        <v>0</v>
      </c>
      <c r="L17" s="22" t="s">
        <v>73</v>
      </c>
      <c r="M17" s="22">
        <f t="shared" si="11"/>
        <v>0</v>
      </c>
      <c r="N17" s="22" t="s">
        <v>72</v>
      </c>
      <c r="O17" s="22">
        <f t="shared" si="12"/>
        <v>0.2</v>
      </c>
      <c r="P17" s="42">
        <f>Table4[[#This Row],[Impact 7]]+Table4[[#This Row],[Impact 6]]+Table4[[#This Row],[Impact 4]]+Table4[[#This Row],[Impact 3]]+Table4[[#This Row],[Impact 5]]+Table4[[#This Row],[Impact 2]]+Table4[[#This Row],[Impact 1]]+1</f>
        <v>1.6</v>
      </c>
      <c r="Q17" s="32"/>
      <c r="R17" s="32">
        <v>1.6</v>
      </c>
      <c r="S17" s="32">
        <v>1.6</v>
      </c>
      <c r="T17" s="32">
        <v>1.6</v>
      </c>
      <c r="U17" s="32">
        <v>1.6</v>
      </c>
      <c r="V17" s="32">
        <v>1.6</v>
      </c>
      <c r="W17" s="32">
        <v>1.6</v>
      </c>
      <c r="X17" s="32"/>
      <c r="Y17" s="32"/>
      <c r="Z17" s="32"/>
      <c r="AA17" s="32"/>
      <c r="AB17" s="32"/>
      <c r="AC17" s="32"/>
      <c r="AD17" s="32"/>
      <c r="AE17" s="32"/>
      <c r="AF17" s="32"/>
      <c r="AG17" s="23"/>
    </row>
    <row r="18" spans="1:33" x14ac:dyDescent="0.25">
      <c r="A18" s="21" t="s">
        <v>48</v>
      </c>
      <c r="B18" s="22" t="s">
        <v>73</v>
      </c>
      <c r="C18" s="22">
        <f t="shared" si="7"/>
        <v>0</v>
      </c>
      <c r="D18" s="22" t="s">
        <v>73</v>
      </c>
      <c r="E18" s="22">
        <f t="shared" si="8"/>
        <v>0</v>
      </c>
      <c r="F18" s="22" t="s">
        <v>73</v>
      </c>
      <c r="G18" s="22">
        <f t="shared" si="9"/>
        <v>0</v>
      </c>
      <c r="H18" s="22" t="s">
        <v>73</v>
      </c>
      <c r="I18" s="22">
        <f t="shared" si="10"/>
        <v>0</v>
      </c>
      <c r="J18" s="22" t="s">
        <v>73</v>
      </c>
      <c r="K18" s="22">
        <f t="shared" si="0"/>
        <v>0</v>
      </c>
      <c r="L18" s="22" t="s">
        <v>73</v>
      </c>
      <c r="M18" s="22">
        <f t="shared" si="11"/>
        <v>0</v>
      </c>
      <c r="N18" s="22" t="s">
        <v>73</v>
      </c>
      <c r="O18" s="22">
        <f t="shared" si="12"/>
        <v>0</v>
      </c>
      <c r="P18" s="42">
        <f>Table4[[#This Row],[Impact 7]]+Table4[[#This Row],[Impact 6]]+Table4[[#This Row],[Impact 4]]+Table4[[#This Row],[Impact 3]]+Table4[[#This Row],[Impact 5]]+Table4[[#This Row],[Impact 2]]+Table4[[#This Row],[Impact 1]]+1</f>
        <v>1</v>
      </c>
      <c r="Q18" s="32"/>
      <c r="R18" s="32">
        <v>1</v>
      </c>
      <c r="S18" s="32">
        <v>1</v>
      </c>
      <c r="T18" s="32">
        <v>1</v>
      </c>
      <c r="U18" s="32">
        <v>1</v>
      </c>
      <c r="V18" s="32">
        <v>1</v>
      </c>
      <c r="W18" s="32">
        <v>1</v>
      </c>
      <c r="X18" s="32"/>
      <c r="Y18" s="32"/>
      <c r="Z18" s="32"/>
      <c r="AA18" s="32"/>
      <c r="AB18" s="32"/>
      <c r="AC18" s="32"/>
      <c r="AD18" s="32"/>
      <c r="AE18" s="32"/>
      <c r="AF18" s="32"/>
      <c r="AG18" s="23"/>
    </row>
    <row r="19" spans="1:33" x14ac:dyDescent="0.25">
      <c r="A19" s="21" t="s">
        <v>37</v>
      </c>
      <c r="B19" s="22" t="s">
        <v>72</v>
      </c>
      <c r="C19" s="22">
        <f t="shared" si="7"/>
        <v>0.2</v>
      </c>
      <c r="D19" s="22" t="s">
        <v>72</v>
      </c>
      <c r="E19" s="22">
        <f t="shared" si="8"/>
        <v>0.2</v>
      </c>
      <c r="F19" s="22" t="s">
        <v>73</v>
      </c>
      <c r="G19" s="22">
        <f t="shared" si="9"/>
        <v>0</v>
      </c>
      <c r="H19" s="22" t="s">
        <v>73</v>
      </c>
      <c r="I19" s="22">
        <f t="shared" si="10"/>
        <v>0</v>
      </c>
      <c r="J19" s="22" t="s">
        <v>73</v>
      </c>
      <c r="K19" s="22">
        <f t="shared" si="0"/>
        <v>0</v>
      </c>
      <c r="L19" s="22" t="s">
        <v>73</v>
      </c>
      <c r="M19" s="22">
        <f t="shared" si="11"/>
        <v>0</v>
      </c>
      <c r="N19" s="22" t="s">
        <v>73</v>
      </c>
      <c r="O19" s="22">
        <f t="shared" si="12"/>
        <v>0</v>
      </c>
      <c r="P19" s="42">
        <f>Table4[[#This Row],[Impact 7]]+Table4[[#This Row],[Impact 6]]+Table4[[#This Row],[Impact 4]]+Table4[[#This Row],[Impact 3]]+Table4[[#This Row],[Impact 5]]+Table4[[#This Row],[Impact 2]]+Table4[[#This Row],[Impact 1]]+1</f>
        <v>1.4</v>
      </c>
      <c r="Q19" s="32"/>
      <c r="R19" s="32">
        <v>1.4</v>
      </c>
      <c r="S19" s="32">
        <v>1.4</v>
      </c>
      <c r="T19" s="32">
        <v>1.4</v>
      </c>
      <c r="U19" s="32">
        <v>1.4</v>
      </c>
      <c r="V19" s="32">
        <v>1.4</v>
      </c>
      <c r="W19" s="32">
        <v>1.4</v>
      </c>
      <c r="X19" s="32"/>
      <c r="Y19" s="32"/>
      <c r="Z19" s="32"/>
      <c r="AA19" s="32"/>
      <c r="AB19" s="32"/>
      <c r="AC19" s="32"/>
      <c r="AD19" s="32"/>
      <c r="AE19" s="32"/>
      <c r="AF19" s="32"/>
      <c r="AG19" s="23"/>
    </row>
    <row r="20" spans="1:33" x14ac:dyDescent="0.25">
      <c r="A20" s="21" t="s">
        <v>32</v>
      </c>
      <c r="B20" s="22" t="s">
        <v>73</v>
      </c>
      <c r="C20" s="22">
        <f t="shared" si="7"/>
        <v>0</v>
      </c>
      <c r="D20" s="22" t="s">
        <v>73</v>
      </c>
      <c r="E20" s="22">
        <f t="shared" si="8"/>
        <v>0</v>
      </c>
      <c r="F20" s="22" t="s">
        <v>73</v>
      </c>
      <c r="G20" s="22">
        <f t="shared" si="9"/>
        <v>0</v>
      </c>
      <c r="H20" s="22" t="s">
        <v>73</v>
      </c>
      <c r="I20" s="22">
        <f t="shared" si="10"/>
        <v>0</v>
      </c>
      <c r="J20" s="22" t="s">
        <v>73</v>
      </c>
      <c r="K20" s="22">
        <f t="shared" si="0"/>
        <v>0</v>
      </c>
      <c r="L20" s="22" t="s">
        <v>73</v>
      </c>
      <c r="M20" s="22">
        <f t="shared" si="11"/>
        <v>0</v>
      </c>
      <c r="N20" s="22" t="s">
        <v>73</v>
      </c>
      <c r="O20" s="22">
        <f t="shared" si="12"/>
        <v>0</v>
      </c>
      <c r="P20" s="42">
        <f>Table4[[#This Row],[Impact 7]]+Table4[[#This Row],[Impact 6]]+Table4[[#This Row],[Impact 4]]+Table4[[#This Row],[Impact 3]]+Table4[[#This Row],[Impact 5]]+Table4[[#This Row],[Impact 2]]+Table4[[#This Row],[Impact 1]]+1</f>
        <v>1</v>
      </c>
      <c r="Q20" s="32"/>
      <c r="R20" s="32">
        <v>1</v>
      </c>
      <c r="S20" s="32">
        <v>1</v>
      </c>
      <c r="T20" s="32">
        <v>1</v>
      </c>
      <c r="U20" s="32">
        <v>1</v>
      </c>
      <c r="V20" s="32">
        <v>1</v>
      </c>
      <c r="W20" s="32">
        <v>1</v>
      </c>
      <c r="X20" s="32"/>
      <c r="Y20" s="32"/>
      <c r="Z20" s="32"/>
      <c r="AA20" s="32"/>
      <c r="AB20" s="32"/>
      <c r="AC20" s="32"/>
      <c r="AD20" s="32"/>
      <c r="AE20" s="32"/>
      <c r="AF20" s="32"/>
      <c r="AG20" s="23"/>
    </row>
    <row r="21" spans="1:33" x14ac:dyDescent="0.25">
      <c r="A21" s="21" t="s">
        <v>74</v>
      </c>
      <c r="B21" s="22" t="s">
        <v>72</v>
      </c>
      <c r="C21" s="22">
        <f t="shared" si="7"/>
        <v>0.2</v>
      </c>
      <c r="D21" s="22" t="s">
        <v>72</v>
      </c>
      <c r="E21" s="22">
        <f t="shared" si="8"/>
        <v>0.2</v>
      </c>
      <c r="F21" s="22" t="s">
        <v>72</v>
      </c>
      <c r="G21" s="22">
        <f t="shared" si="9"/>
        <v>0.2</v>
      </c>
      <c r="H21" s="22" t="s">
        <v>73</v>
      </c>
      <c r="I21" s="22">
        <f t="shared" si="10"/>
        <v>0</v>
      </c>
      <c r="J21" s="22" t="s">
        <v>73</v>
      </c>
      <c r="K21" s="22">
        <f t="shared" si="0"/>
        <v>0</v>
      </c>
      <c r="L21" s="22" t="s">
        <v>72</v>
      </c>
      <c r="M21" s="22">
        <f t="shared" si="11"/>
        <v>0.2</v>
      </c>
      <c r="N21" s="22" t="s">
        <v>72</v>
      </c>
      <c r="O21" s="22">
        <f t="shared" si="12"/>
        <v>0.2</v>
      </c>
      <c r="P21" s="42">
        <f>Table4[[#This Row],[Impact 7]]+Table4[[#This Row],[Impact 6]]+Table4[[#This Row],[Impact 4]]+Table4[[#This Row],[Impact 3]]+Table4[[#This Row],[Impact 5]]+Table4[[#This Row],[Impact 2]]+Table4[[#This Row],[Impact 1]]+1</f>
        <v>2</v>
      </c>
      <c r="Q21" s="32"/>
      <c r="R21" s="32">
        <v>2</v>
      </c>
      <c r="S21" s="32">
        <v>2</v>
      </c>
      <c r="T21" s="32">
        <v>2</v>
      </c>
      <c r="U21" s="32">
        <v>2</v>
      </c>
      <c r="V21" s="32">
        <v>2</v>
      </c>
      <c r="W21" s="32">
        <v>2</v>
      </c>
      <c r="X21" s="32"/>
      <c r="Y21" s="32"/>
      <c r="Z21" s="32"/>
      <c r="AA21" s="32"/>
      <c r="AB21" s="32"/>
      <c r="AC21" s="32"/>
      <c r="AD21" s="32"/>
      <c r="AE21" s="32"/>
      <c r="AF21" s="32"/>
      <c r="AG21" s="23"/>
    </row>
    <row r="22" spans="1:33" x14ac:dyDescent="0.25">
      <c r="A22" s="21" t="s">
        <v>47</v>
      </c>
      <c r="B22" s="22" t="s">
        <v>73</v>
      </c>
      <c r="C22" s="22">
        <f t="shared" si="7"/>
        <v>0</v>
      </c>
      <c r="D22" s="22" t="s">
        <v>73</v>
      </c>
      <c r="E22" s="22">
        <f t="shared" si="8"/>
        <v>0</v>
      </c>
      <c r="F22" s="22" t="s">
        <v>73</v>
      </c>
      <c r="G22" s="22">
        <f t="shared" si="9"/>
        <v>0</v>
      </c>
      <c r="H22" s="22" t="s">
        <v>73</v>
      </c>
      <c r="I22" s="22">
        <f t="shared" si="10"/>
        <v>0</v>
      </c>
      <c r="J22" s="22" t="s">
        <v>73</v>
      </c>
      <c r="K22" s="22">
        <f t="shared" si="0"/>
        <v>0</v>
      </c>
      <c r="L22" s="22" t="s">
        <v>73</v>
      </c>
      <c r="M22" s="22">
        <f t="shared" si="11"/>
        <v>0</v>
      </c>
      <c r="N22" s="22" t="s">
        <v>73</v>
      </c>
      <c r="O22" s="22">
        <f t="shared" si="12"/>
        <v>0</v>
      </c>
      <c r="P22" s="42">
        <f>Table4[[#This Row],[Impact 7]]+Table4[[#This Row],[Impact 6]]+Table4[[#This Row],[Impact 4]]+Table4[[#This Row],[Impact 3]]+Table4[[#This Row],[Impact 5]]+Table4[[#This Row],[Impact 2]]+Table4[[#This Row],[Impact 1]]+1</f>
        <v>1</v>
      </c>
      <c r="Q22" s="32"/>
      <c r="R22" s="32">
        <v>1</v>
      </c>
      <c r="S22" s="32">
        <v>1</v>
      </c>
      <c r="T22" s="32">
        <v>1</v>
      </c>
      <c r="U22" s="32">
        <v>1</v>
      </c>
      <c r="V22" s="32">
        <v>1</v>
      </c>
      <c r="W22" s="32">
        <v>1</v>
      </c>
      <c r="X22" s="32"/>
      <c r="Y22" s="32"/>
      <c r="Z22" s="32"/>
      <c r="AA22" s="32"/>
      <c r="AB22" s="32"/>
      <c r="AC22" s="32"/>
      <c r="AD22" s="32"/>
      <c r="AE22" s="32"/>
      <c r="AF22" s="32"/>
      <c r="AG22" s="23"/>
    </row>
    <row r="23" spans="1:33" x14ac:dyDescent="0.25">
      <c r="A23" s="21" t="s">
        <v>56</v>
      </c>
      <c r="B23" s="22" t="s">
        <v>73</v>
      </c>
      <c r="C23" s="22">
        <f t="shared" si="7"/>
        <v>0</v>
      </c>
      <c r="D23" s="22" t="s">
        <v>73</v>
      </c>
      <c r="E23" s="22">
        <f t="shared" si="8"/>
        <v>0</v>
      </c>
      <c r="F23" s="22" t="s">
        <v>73</v>
      </c>
      <c r="G23" s="22">
        <f t="shared" si="9"/>
        <v>0</v>
      </c>
      <c r="H23" s="22" t="s">
        <v>73</v>
      </c>
      <c r="I23" s="22">
        <f t="shared" si="10"/>
        <v>0</v>
      </c>
      <c r="J23" s="22" t="s">
        <v>73</v>
      </c>
      <c r="K23" s="22">
        <f t="shared" si="0"/>
        <v>0</v>
      </c>
      <c r="L23" s="22" t="s">
        <v>73</v>
      </c>
      <c r="M23" s="22">
        <f t="shared" si="11"/>
        <v>0</v>
      </c>
      <c r="N23" s="22" t="s">
        <v>73</v>
      </c>
      <c r="O23" s="22">
        <f t="shared" si="12"/>
        <v>0</v>
      </c>
      <c r="P23" s="42">
        <f>Table4[[#This Row],[Impact 7]]+Table4[[#This Row],[Impact 6]]+Table4[[#This Row],[Impact 4]]+Table4[[#This Row],[Impact 3]]+Table4[[#This Row],[Impact 5]]+Table4[[#This Row],[Impact 2]]+Table4[[#This Row],[Impact 1]]+1</f>
        <v>1</v>
      </c>
      <c r="Q23" s="32"/>
      <c r="R23" s="32">
        <v>1</v>
      </c>
      <c r="S23" s="32">
        <v>1</v>
      </c>
      <c r="T23" s="32">
        <v>1</v>
      </c>
      <c r="U23" s="32">
        <v>1</v>
      </c>
      <c r="V23" s="32">
        <v>1</v>
      </c>
      <c r="W23" s="32">
        <v>1</v>
      </c>
      <c r="X23" s="32"/>
      <c r="Y23" s="32"/>
      <c r="Z23" s="32"/>
      <c r="AA23" s="32"/>
      <c r="AB23" s="32"/>
      <c r="AC23" s="32"/>
      <c r="AD23" s="32"/>
      <c r="AE23" s="32"/>
      <c r="AF23" s="32"/>
      <c r="AG23" s="23"/>
    </row>
    <row r="24" spans="1:33" x14ac:dyDescent="0.25">
      <c r="A24" s="21" t="s">
        <v>28</v>
      </c>
      <c r="B24" s="22" t="s">
        <v>72</v>
      </c>
      <c r="C24" s="22">
        <f t="shared" si="7"/>
        <v>0.2</v>
      </c>
      <c r="D24" s="22" t="s">
        <v>72</v>
      </c>
      <c r="E24" s="22">
        <f t="shared" si="8"/>
        <v>0.2</v>
      </c>
      <c r="F24" s="22" t="s">
        <v>73</v>
      </c>
      <c r="G24" s="22">
        <f t="shared" si="9"/>
        <v>0</v>
      </c>
      <c r="H24" s="22" t="s">
        <v>73</v>
      </c>
      <c r="I24" s="22">
        <f t="shared" si="10"/>
        <v>0</v>
      </c>
      <c r="J24" s="22" t="s">
        <v>73</v>
      </c>
      <c r="K24" s="22">
        <f t="shared" si="0"/>
        <v>0</v>
      </c>
      <c r="L24" s="22" t="s">
        <v>73</v>
      </c>
      <c r="M24" s="22">
        <f t="shared" si="11"/>
        <v>0</v>
      </c>
      <c r="N24" s="22" t="s">
        <v>73</v>
      </c>
      <c r="O24" s="22">
        <f t="shared" si="12"/>
        <v>0</v>
      </c>
      <c r="P24" s="42">
        <f>Table4[[#This Row],[Impact 7]]+Table4[[#This Row],[Impact 6]]+Table4[[#This Row],[Impact 4]]+Table4[[#This Row],[Impact 3]]+Table4[[#This Row],[Impact 5]]+Table4[[#This Row],[Impact 2]]+Table4[[#This Row],[Impact 1]]+1</f>
        <v>1.4</v>
      </c>
      <c r="Q24" s="32"/>
      <c r="R24" s="32">
        <v>1.4</v>
      </c>
      <c r="S24" s="32">
        <v>1.4</v>
      </c>
      <c r="T24" s="32">
        <v>1.4</v>
      </c>
      <c r="U24" s="32">
        <v>1.4</v>
      </c>
      <c r="V24" s="32">
        <v>1.4</v>
      </c>
      <c r="W24" s="32">
        <v>1.4</v>
      </c>
      <c r="X24" s="32"/>
      <c r="Y24" s="32"/>
      <c r="Z24" s="32"/>
      <c r="AA24" s="32"/>
      <c r="AB24" s="32"/>
      <c r="AC24" s="32"/>
      <c r="AD24" s="32"/>
      <c r="AE24" s="32"/>
      <c r="AF24" s="32"/>
      <c r="AG24" s="23"/>
    </row>
    <row r="25" spans="1:33" x14ac:dyDescent="0.25">
      <c r="A25" s="21" t="s">
        <v>40</v>
      </c>
      <c r="B25" s="22" t="s">
        <v>73</v>
      </c>
      <c r="C25" s="22">
        <f t="shared" si="7"/>
        <v>0</v>
      </c>
      <c r="D25" s="22" t="s">
        <v>72</v>
      </c>
      <c r="E25" s="22">
        <f t="shared" si="8"/>
        <v>0.2</v>
      </c>
      <c r="F25" s="22" t="s">
        <v>73</v>
      </c>
      <c r="G25" s="22">
        <f t="shared" si="9"/>
        <v>0</v>
      </c>
      <c r="H25" s="22" t="s">
        <v>73</v>
      </c>
      <c r="I25" s="22">
        <f t="shared" si="10"/>
        <v>0</v>
      </c>
      <c r="J25" s="22" t="s">
        <v>73</v>
      </c>
      <c r="K25" s="22">
        <f t="shared" si="0"/>
        <v>0</v>
      </c>
      <c r="L25" s="22" t="s">
        <v>73</v>
      </c>
      <c r="M25" s="22">
        <f t="shared" si="11"/>
        <v>0</v>
      </c>
      <c r="N25" s="22" t="s">
        <v>73</v>
      </c>
      <c r="O25" s="22">
        <f t="shared" si="12"/>
        <v>0</v>
      </c>
      <c r="P25" s="42">
        <f>Table4[[#This Row],[Impact 7]]+Table4[[#This Row],[Impact 6]]+Table4[[#This Row],[Impact 4]]+Table4[[#This Row],[Impact 3]]+Table4[[#This Row],[Impact 5]]+Table4[[#This Row],[Impact 2]]+Table4[[#This Row],[Impact 1]]+1</f>
        <v>1.2</v>
      </c>
      <c r="Q25" s="32"/>
      <c r="R25" s="32">
        <v>1.2</v>
      </c>
      <c r="S25" s="32">
        <v>1.2</v>
      </c>
      <c r="T25" s="32">
        <v>1.2</v>
      </c>
      <c r="U25" s="32">
        <v>1.2</v>
      </c>
      <c r="V25" s="32">
        <v>1.2</v>
      </c>
      <c r="W25" s="32">
        <v>1.2</v>
      </c>
      <c r="X25" s="32"/>
      <c r="Y25" s="32"/>
      <c r="Z25" s="32"/>
      <c r="AA25" s="32"/>
      <c r="AB25" s="32"/>
      <c r="AC25" s="32"/>
      <c r="AD25" s="32"/>
      <c r="AE25" s="32"/>
      <c r="AF25" s="32"/>
      <c r="AG25" s="23"/>
    </row>
    <row r="26" spans="1:33" x14ac:dyDescent="0.25">
      <c r="A26" s="21" t="s">
        <v>41</v>
      </c>
      <c r="B26" s="22" t="s">
        <v>72</v>
      </c>
      <c r="C26" s="22">
        <f t="shared" si="7"/>
        <v>0.2</v>
      </c>
      <c r="D26" s="22" t="s">
        <v>72</v>
      </c>
      <c r="E26" s="22">
        <f t="shared" si="8"/>
        <v>0.2</v>
      </c>
      <c r="F26" s="22" t="s">
        <v>72</v>
      </c>
      <c r="G26" s="22">
        <f t="shared" si="9"/>
        <v>0.2</v>
      </c>
      <c r="H26" s="22" t="s">
        <v>73</v>
      </c>
      <c r="I26" s="22">
        <f t="shared" si="10"/>
        <v>0</v>
      </c>
      <c r="J26" s="22" t="s">
        <v>73</v>
      </c>
      <c r="K26" s="22">
        <f t="shared" si="0"/>
        <v>0</v>
      </c>
      <c r="L26" s="22" t="s">
        <v>73</v>
      </c>
      <c r="M26" s="22">
        <f t="shared" si="11"/>
        <v>0</v>
      </c>
      <c r="N26" s="22" t="s">
        <v>72</v>
      </c>
      <c r="O26" s="22">
        <f t="shared" si="12"/>
        <v>0.2</v>
      </c>
      <c r="P26" s="42">
        <f>Table4[[#This Row],[Impact 7]]+Table4[[#This Row],[Impact 6]]+Table4[[#This Row],[Impact 4]]+Table4[[#This Row],[Impact 3]]+Table4[[#This Row],[Impact 5]]+Table4[[#This Row],[Impact 2]]+Table4[[#This Row],[Impact 1]]+1</f>
        <v>1.8</v>
      </c>
      <c r="Q26" s="32"/>
      <c r="R26" s="32">
        <v>1.8</v>
      </c>
      <c r="S26" s="32">
        <v>1.8</v>
      </c>
      <c r="T26" s="32">
        <v>1.8</v>
      </c>
      <c r="U26" s="32">
        <v>1.8</v>
      </c>
      <c r="V26" s="32">
        <v>1.8</v>
      </c>
      <c r="W26" s="32">
        <v>1.8</v>
      </c>
      <c r="X26" s="32"/>
      <c r="Y26" s="32"/>
      <c r="Z26" s="32"/>
      <c r="AA26" s="32"/>
      <c r="AB26" s="32"/>
      <c r="AC26" s="32"/>
      <c r="AD26" s="32"/>
      <c r="AE26" s="32"/>
      <c r="AF26" s="32"/>
      <c r="AG26" s="23"/>
    </row>
    <row r="27" spans="1:33" x14ac:dyDescent="0.25">
      <c r="A27" s="21" t="s">
        <v>23</v>
      </c>
      <c r="B27" s="22" t="s">
        <v>72</v>
      </c>
      <c r="C27" s="22">
        <f t="shared" si="7"/>
        <v>0.2</v>
      </c>
      <c r="D27" s="22" t="s">
        <v>73</v>
      </c>
      <c r="E27" s="22">
        <f t="shared" si="8"/>
        <v>0</v>
      </c>
      <c r="F27" s="22" t="s">
        <v>73</v>
      </c>
      <c r="G27" s="22">
        <f t="shared" si="9"/>
        <v>0</v>
      </c>
      <c r="H27" s="22" t="s">
        <v>73</v>
      </c>
      <c r="I27" s="22">
        <f t="shared" si="10"/>
        <v>0</v>
      </c>
      <c r="J27" s="22" t="s">
        <v>73</v>
      </c>
      <c r="K27" s="22">
        <f t="shared" si="0"/>
        <v>0</v>
      </c>
      <c r="L27" s="22" t="s">
        <v>73</v>
      </c>
      <c r="M27" s="22">
        <f t="shared" si="11"/>
        <v>0</v>
      </c>
      <c r="N27" s="22" t="s">
        <v>73</v>
      </c>
      <c r="O27" s="22">
        <f t="shared" si="12"/>
        <v>0</v>
      </c>
      <c r="P27" s="42">
        <f>Table4[[#This Row],[Impact 7]]+Table4[[#This Row],[Impact 6]]+Table4[[#This Row],[Impact 4]]+Table4[[#This Row],[Impact 3]]+Table4[[#This Row],[Impact 5]]+Table4[[#This Row],[Impact 2]]+Table4[[#This Row],[Impact 1]]+1</f>
        <v>1.2</v>
      </c>
      <c r="Q27" s="32"/>
      <c r="R27" s="32">
        <v>1.2</v>
      </c>
      <c r="S27" s="32">
        <v>1.2</v>
      </c>
      <c r="T27" s="32">
        <v>1.2</v>
      </c>
      <c r="U27" s="32">
        <v>1.2</v>
      </c>
      <c r="V27" s="32">
        <v>1.2</v>
      </c>
      <c r="W27" s="32">
        <v>1.2</v>
      </c>
      <c r="X27" s="32"/>
      <c r="Y27" s="32"/>
      <c r="Z27" s="32"/>
      <c r="AA27" s="32"/>
      <c r="AB27" s="32"/>
      <c r="AC27" s="32"/>
      <c r="AD27" s="32"/>
      <c r="AE27" s="32"/>
      <c r="AF27" s="32"/>
      <c r="AG27" s="23"/>
    </row>
    <row r="28" spans="1:33" x14ac:dyDescent="0.25">
      <c r="A28" s="21" t="s">
        <v>42</v>
      </c>
      <c r="B28" s="22" t="s">
        <v>73</v>
      </c>
      <c r="C28" s="22">
        <f t="shared" si="7"/>
        <v>0</v>
      </c>
      <c r="D28" s="22" t="s">
        <v>73</v>
      </c>
      <c r="E28" s="22">
        <f t="shared" si="8"/>
        <v>0</v>
      </c>
      <c r="F28" s="22" t="s">
        <v>73</v>
      </c>
      <c r="G28" s="22">
        <f t="shared" si="9"/>
        <v>0</v>
      </c>
      <c r="H28" s="22" t="s">
        <v>73</v>
      </c>
      <c r="I28" s="22">
        <f t="shared" si="10"/>
        <v>0</v>
      </c>
      <c r="J28" s="22" t="s">
        <v>73</v>
      </c>
      <c r="K28" s="22">
        <f t="shared" si="0"/>
        <v>0</v>
      </c>
      <c r="L28" s="22" t="s">
        <v>73</v>
      </c>
      <c r="M28" s="22">
        <f t="shared" si="11"/>
        <v>0</v>
      </c>
      <c r="N28" s="22" t="s">
        <v>73</v>
      </c>
      <c r="O28" s="22">
        <f t="shared" si="12"/>
        <v>0</v>
      </c>
      <c r="P28" s="42">
        <f>Table4[[#This Row],[Impact 7]]+Table4[[#This Row],[Impact 6]]+Table4[[#This Row],[Impact 4]]+Table4[[#This Row],[Impact 3]]+Table4[[#This Row],[Impact 5]]+Table4[[#This Row],[Impact 2]]+Table4[[#This Row],[Impact 1]]+1</f>
        <v>1</v>
      </c>
      <c r="Q28" s="32"/>
      <c r="R28" s="32">
        <v>1</v>
      </c>
      <c r="S28" s="32">
        <v>1</v>
      </c>
      <c r="T28" s="32">
        <v>1</v>
      </c>
      <c r="U28" s="32">
        <v>1</v>
      </c>
      <c r="V28" s="32">
        <v>1</v>
      </c>
      <c r="W28" s="32">
        <v>1</v>
      </c>
      <c r="X28" s="32"/>
      <c r="Y28" s="32"/>
      <c r="Z28" s="32"/>
      <c r="AA28" s="32"/>
      <c r="AB28" s="32"/>
      <c r="AC28" s="32"/>
      <c r="AD28" s="32"/>
      <c r="AE28" s="32"/>
      <c r="AF28" s="32"/>
      <c r="AG28" s="23"/>
    </row>
    <row r="29" spans="1:33" x14ac:dyDescent="0.25">
      <c r="A29" s="21" t="s">
        <v>36</v>
      </c>
      <c r="B29" s="22" t="s">
        <v>73</v>
      </c>
      <c r="C29" s="22">
        <f t="shared" si="7"/>
        <v>0</v>
      </c>
      <c r="D29" s="22" t="s">
        <v>73</v>
      </c>
      <c r="E29" s="22">
        <f t="shared" si="8"/>
        <v>0</v>
      </c>
      <c r="F29" s="22" t="s">
        <v>73</v>
      </c>
      <c r="G29" s="22">
        <f t="shared" si="9"/>
        <v>0</v>
      </c>
      <c r="H29" s="22" t="s">
        <v>73</v>
      </c>
      <c r="I29" s="22">
        <f t="shared" si="10"/>
        <v>0</v>
      </c>
      <c r="J29" s="22" t="s">
        <v>73</v>
      </c>
      <c r="K29" s="22">
        <f t="shared" si="0"/>
        <v>0</v>
      </c>
      <c r="L29" s="22" t="s">
        <v>73</v>
      </c>
      <c r="M29" s="22">
        <f t="shared" si="11"/>
        <v>0</v>
      </c>
      <c r="N29" s="22" t="s">
        <v>73</v>
      </c>
      <c r="O29" s="22">
        <f t="shared" si="12"/>
        <v>0</v>
      </c>
      <c r="P29" s="42">
        <f>Table4[[#This Row],[Impact 7]]+Table4[[#This Row],[Impact 6]]+Table4[[#This Row],[Impact 4]]+Table4[[#This Row],[Impact 3]]+Table4[[#This Row],[Impact 5]]+Table4[[#This Row],[Impact 2]]+Table4[[#This Row],[Impact 1]]+1</f>
        <v>1</v>
      </c>
      <c r="Q29" s="32"/>
      <c r="R29" s="32">
        <v>1</v>
      </c>
      <c r="S29" s="32">
        <v>1</v>
      </c>
      <c r="T29" s="32">
        <v>1</v>
      </c>
      <c r="U29" s="32">
        <v>1</v>
      </c>
      <c r="V29" s="32">
        <v>1</v>
      </c>
      <c r="W29" s="32">
        <v>1</v>
      </c>
      <c r="X29" s="32"/>
      <c r="Y29" s="32"/>
      <c r="Z29" s="32"/>
      <c r="AA29" s="32"/>
      <c r="AB29" s="32"/>
      <c r="AC29" s="32"/>
      <c r="AD29" s="32"/>
      <c r="AE29" s="32"/>
      <c r="AF29" s="32"/>
      <c r="AG29" s="23"/>
    </row>
    <row r="30" spans="1:33" x14ac:dyDescent="0.25">
      <c r="A30" s="21" t="s">
        <v>27</v>
      </c>
      <c r="B30" s="22" t="s">
        <v>73</v>
      </c>
      <c r="C30" s="22">
        <f t="shared" si="7"/>
        <v>0</v>
      </c>
      <c r="D30" s="22" t="s">
        <v>73</v>
      </c>
      <c r="E30" s="22">
        <f t="shared" si="8"/>
        <v>0</v>
      </c>
      <c r="F30" s="22" t="s">
        <v>72</v>
      </c>
      <c r="G30" s="22">
        <f t="shared" si="9"/>
        <v>0.2</v>
      </c>
      <c r="H30" s="22" t="s">
        <v>73</v>
      </c>
      <c r="I30" s="22">
        <f t="shared" si="10"/>
        <v>0</v>
      </c>
      <c r="J30" s="22" t="s">
        <v>72</v>
      </c>
      <c r="K30" s="22">
        <f t="shared" si="0"/>
        <v>0.2</v>
      </c>
      <c r="L30" s="22" t="s">
        <v>72</v>
      </c>
      <c r="M30" s="22">
        <f t="shared" si="11"/>
        <v>0.2</v>
      </c>
      <c r="N30" s="22" t="s">
        <v>72</v>
      </c>
      <c r="O30" s="22">
        <f t="shared" si="12"/>
        <v>0.2</v>
      </c>
      <c r="P30" s="42">
        <f>Table4[[#This Row],[Impact 7]]+Table4[[#This Row],[Impact 6]]+Table4[[#This Row],[Impact 4]]+Table4[[#This Row],[Impact 3]]+Table4[[#This Row],[Impact 5]]+Table4[[#This Row],[Impact 2]]+Table4[[#This Row],[Impact 1]]+1</f>
        <v>1.8</v>
      </c>
      <c r="Q30" s="32"/>
      <c r="R30" s="32">
        <v>1.8</v>
      </c>
      <c r="S30" s="32">
        <v>1.8</v>
      </c>
      <c r="T30" s="32">
        <v>1.8</v>
      </c>
      <c r="U30" s="32">
        <v>1.8</v>
      </c>
      <c r="V30" s="32">
        <v>1.8</v>
      </c>
      <c r="W30" s="32">
        <v>1.8</v>
      </c>
      <c r="X30" s="32"/>
      <c r="Y30" s="32"/>
      <c r="Z30" s="32"/>
      <c r="AA30" s="32"/>
      <c r="AB30" s="32"/>
      <c r="AC30" s="32"/>
      <c r="AD30" s="32"/>
      <c r="AE30" s="32"/>
      <c r="AF30" s="32"/>
      <c r="AG30" s="23"/>
    </row>
    <row r="31" spans="1:33" x14ac:dyDescent="0.25">
      <c r="A31" s="21" t="s">
        <v>29</v>
      </c>
      <c r="B31" s="22" t="s">
        <v>73</v>
      </c>
      <c r="C31" s="22">
        <f t="shared" si="7"/>
        <v>0</v>
      </c>
      <c r="D31" s="22" t="s">
        <v>73</v>
      </c>
      <c r="E31" s="22">
        <f t="shared" si="8"/>
        <v>0</v>
      </c>
      <c r="F31" s="22" t="s">
        <v>73</v>
      </c>
      <c r="G31" s="22">
        <f t="shared" si="9"/>
        <v>0</v>
      </c>
      <c r="H31" s="22" t="s">
        <v>73</v>
      </c>
      <c r="I31" s="22">
        <f t="shared" si="10"/>
        <v>0</v>
      </c>
      <c r="J31" s="22" t="s">
        <v>73</v>
      </c>
      <c r="K31" s="22">
        <f t="shared" si="0"/>
        <v>0</v>
      </c>
      <c r="L31" s="22" t="s">
        <v>73</v>
      </c>
      <c r="M31" s="22">
        <f t="shared" si="11"/>
        <v>0</v>
      </c>
      <c r="N31" s="22" t="s">
        <v>73</v>
      </c>
      <c r="O31" s="22">
        <f t="shared" si="12"/>
        <v>0</v>
      </c>
      <c r="P31" s="42">
        <f>Table4[[#This Row],[Impact 7]]+Table4[[#This Row],[Impact 6]]+Table4[[#This Row],[Impact 4]]+Table4[[#This Row],[Impact 3]]+Table4[[#This Row],[Impact 5]]+Table4[[#This Row],[Impact 2]]+Table4[[#This Row],[Impact 1]]+1</f>
        <v>1</v>
      </c>
      <c r="Q31" s="32"/>
      <c r="R31" s="32">
        <v>1</v>
      </c>
      <c r="S31" s="32">
        <v>1</v>
      </c>
      <c r="T31" s="32">
        <v>1</v>
      </c>
      <c r="U31" s="32">
        <v>1</v>
      </c>
      <c r="V31" s="32">
        <v>1</v>
      </c>
      <c r="W31" s="32">
        <v>1</v>
      </c>
      <c r="X31" s="32"/>
      <c r="Y31" s="32"/>
      <c r="Z31" s="32"/>
      <c r="AA31" s="32"/>
      <c r="AB31" s="32"/>
      <c r="AC31" s="32"/>
      <c r="AD31" s="32"/>
      <c r="AE31" s="32"/>
      <c r="AF31" s="32"/>
      <c r="AG31" s="23"/>
    </row>
    <row r="32" spans="1:33" x14ac:dyDescent="0.25">
      <c r="A32" s="21" t="s">
        <v>30</v>
      </c>
      <c r="B32" s="22" t="s">
        <v>72</v>
      </c>
      <c r="C32" s="22">
        <f t="shared" si="7"/>
        <v>0.2</v>
      </c>
      <c r="D32" s="22" t="s">
        <v>73</v>
      </c>
      <c r="E32" s="22">
        <f t="shared" si="8"/>
        <v>0</v>
      </c>
      <c r="F32" s="22" t="s">
        <v>73</v>
      </c>
      <c r="G32" s="22">
        <f t="shared" si="9"/>
        <v>0</v>
      </c>
      <c r="H32" s="22" t="s">
        <v>73</v>
      </c>
      <c r="I32" s="22">
        <f t="shared" si="10"/>
        <v>0</v>
      </c>
      <c r="J32" s="22" t="s">
        <v>73</v>
      </c>
      <c r="K32" s="22">
        <f t="shared" si="0"/>
        <v>0</v>
      </c>
      <c r="L32" s="22" t="s">
        <v>73</v>
      </c>
      <c r="M32" s="22">
        <f t="shared" si="11"/>
        <v>0</v>
      </c>
      <c r="N32" s="22" t="s">
        <v>73</v>
      </c>
      <c r="O32" s="22">
        <f t="shared" si="12"/>
        <v>0</v>
      </c>
      <c r="P32" s="42">
        <f>Table4[[#This Row],[Impact 7]]+Table4[[#This Row],[Impact 6]]+Table4[[#This Row],[Impact 4]]+Table4[[#This Row],[Impact 3]]+Table4[[#This Row],[Impact 5]]+Table4[[#This Row],[Impact 2]]+Table4[[#This Row],[Impact 1]]+1</f>
        <v>1.2</v>
      </c>
      <c r="Q32" s="32"/>
      <c r="R32" s="32">
        <v>1.2</v>
      </c>
      <c r="S32" s="32">
        <v>1.2</v>
      </c>
      <c r="T32" s="32">
        <v>1.2</v>
      </c>
      <c r="U32" s="32">
        <v>1.2</v>
      </c>
      <c r="V32" s="32">
        <v>1.2</v>
      </c>
      <c r="W32" s="32">
        <v>1.2</v>
      </c>
      <c r="X32" s="32"/>
      <c r="Y32" s="32"/>
      <c r="Z32" s="32"/>
      <c r="AA32" s="32"/>
      <c r="AB32" s="32"/>
      <c r="AC32" s="32"/>
      <c r="AD32" s="32"/>
      <c r="AE32" s="32"/>
      <c r="AF32" s="32"/>
      <c r="AG32" s="23"/>
    </row>
    <row r="33" spans="1:33" x14ac:dyDescent="0.25">
      <c r="A33" s="21" t="s">
        <v>34</v>
      </c>
      <c r="B33" s="22" t="s">
        <v>73</v>
      </c>
      <c r="C33" s="22">
        <f t="shared" si="7"/>
        <v>0</v>
      </c>
      <c r="D33" s="22" t="s">
        <v>73</v>
      </c>
      <c r="E33" s="22">
        <f t="shared" si="8"/>
        <v>0</v>
      </c>
      <c r="F33" s="22" t="s">
        <v>73</v>
      </c>
      <c r="G33" s="22">
        <f t="shared" si="9"/>
        <v>0</v>
      </c>
      <c r="H33" s="22" t="s">
        <v>73</v>
      </c>
      <c r="I33" s="22">
        <f t="shared" si="10"/>
        <v>0</v>
      </c>
      <c r="J33" s="22" t="s">
        <v>73</v>
      </c>
      <c r="K33" s="22">
        <f t="shared" si="0"/>
        <v>0</v>
      </c>
      <c r="L33" s="22" t="s">
        <v>73</v>
      </c>
      <c r="M33" s="22">
        <f t="shared" si="11"/>
        <v>0</v>
      </c>
      <c r="N33" s="22" t="s">
        <v>73</v>
      </c>
      <c r="O33" s="22">
        <f t="shared" si="12"/>
        <v>0</v>
      </c>
      <c r="P33" s="42">
        <f>Table4[[#This Row],[Impact 7]]+Table4[[#This Row],[Impact 6]]+Table4[[#This Row],[Impact 4]]+Table4[[#This Row],[Impact 3]]+Table4[[#This Row],[Impact 5]]+Table4[[#This Row],[Impact 2]]+Table4[[#This Row],[Impact 1]]+1</f>
        <v>1</v>
      </c>
      <c r="Q33" s="32"/>
      <c r="R33" s="32">
        <v>1</v>
      </c>
      <c r="S33" s="32">
        <v>1</v>
      </c>
      <c r="T33" s="32">
        <v>1</v>
      </c>
      <c r="U33" s="32">
        <v>1</v>
      </c>
      <c r="V33" s="32">
        <v>1</v>
      </c>
      <c r="W33" s="32">
        <v>1</v>
      </c>
      <c r="X33" s="32"/>
      <c r="Y33" s="32"/>
      <c r="Z33" s="32"/>
      <c r="AA33" s="32"/>
      <c r="AB33" s="32"/>
      <c r="AC33" s="32"/>
      <c r="AD33" s="32"/>
      <c r="AE33" s="32"/>
      <c r="AF33" s="32"/>
      <c r="AG33" s="23"/>
    </row>
    <row r="34" spans="1:33" x14ac:dyDescent="0.25">
      <c r="A34" s="21" t="s">
        <v>54</v>
      </c>
      <c r="B34" s="22" t="s">
        <v>73</v>
      </c>
      <c r="C34" s="22">
        <f t="shared" si="7"/>
        <v>0</v>
      </c>
      <c r="D34" s="22" t="s">
        <v>73</v>
      </c>
      <c r="E34" s="22">
        <f t="shared" si="8"/>
        <v>0</v>
      </c>
      <c r="F34" s="22" t="s">
        <v>73</v>
      </c>
      <c r="G34" s="22">
        <f t="shared" si="9"/>
        <v>0</v>
      </c>
      <c r="H34" s="22" t="s">
        <v>73</v>
      </c>
      <c r="I34" s="22">
        <f t="shared" si="10"/>
        <v>0</v>
      </c>
      <c r="J34" s="22" t="s">
        <v>73</v>
      </c>
      <c r="K34" s="22">
        <f t="shared" si="0"/>
        <v>0</v>
      </c>
      <c r="L34" s="22" t="s">
        <v>73</v>
      </c>
      <c r="M34" s="22">
        <f t="shared" si="11"/>
        <v>0</v>
      </c>
      <c r="N34" s="22" t="s">
        <v>73</v>
      </c>
      <c r="O34" s="22">
        <f t="shared" si="12"/>
        <v>0</v>
      </c>
      <c r="P34" s="42">
        <f>Table4[[#This Row],[Impact 7]]+Table4[[#This Row],[Impact 6]]+Table4[[#This Row],[Impact 4]]+Table4[[#This Row],[Impact 3]]+Table4[[#This Row],[Impact 5]]+Table4[[#This Row],[Impact 2]]+Table4[[#This Row],[Impact 1]]+1</f>
        <v>1</v>
      </c>
      <c r="Q34" s="32"/>
      <c r="R34" s="32">
        <v>1</v>
      </c>
      <c r="S34" s="32">
        <v>1</v>
      </c>
      <c r="T34" s="32">
        <v>1</v>
      </c>
      <c r="U34" s="32">
        <v>1</v>
      </c>
      <c r="V34" s="32">
        <v>1</v>
      </c>
      <c r="W34" s="32">
        <v>1</v>
      </c>
      <c r="X34" s="32"/>
      <c r="Y34" s="32"/>
      <c r="Z34" s="32"/>
      <c r="AA34" s="32"/>
      <c r="AB34" s="32"/>
      <c r="AC34" s="32"/>
      <c r="AD34" s="32"/>
      <c r="AE34" s="32"/>
      <c r="AF34" s="32"/>
      <c r="AG34" s="23"/>
    </row>
    <row r="35" spans="1:33" x14ac:dyDescent="0.25">
      <c r="A35" s="24" t="s">
        <v>25</v>
      </c>
      <c r="B35" s="25" t="s">
        <v>72</v>
      </c>
      <c r="C35" s="25">
        <f t="shared" si="7"/>
        <v>0.2</v>
      </c>
      <c r="D35" s="25" t="s">
        <v>72</v>
      </c>
      <c r="E35" s="25">
        <f t="shared" si="8"/>
        <v>0.2</v>
      </c>
      <c r="F35" s="25" t="s">
        <v>72</v>
      </c>
      <c r="G35" s="25">
        <f t="shared" si="9"/>
        <v>0.2</v>
      </c>
      <c r="H35" s="25" t="s">
        <v>73</v>
      </c>
      <c r="I35" s="25">
        <f t="shared" si="10"/>
        <v>0</v>
      </c>
      <c r="J35" s="25" t="s">
        <v>72</v>
      </c>
      <c r="K35" s="25">
        <f t="shared" si="0"/>
        <v>0.2</v>
      </c>
      <c r="L35" s="25" t="s">
        <v>73</v>
      </c>
      <c r="M35" s="25">
        <f t="shared" si="11"/>
        <v>0</v>
      </c>
      <c r="N35" s="25" t="s">
        <v>72</v>
      </c>
      <c r="O35" s="25">
        <v>0.4</v>
      </c>
      <c r="P35" s="43">
        <f>Table4[[#This Row],[Impact 7]]+Table4[[#This Row],[Impact 6]]+Table4[[#This Row],[Impact 4]]+Table4[[#This Row],[Impact 3]]+Table4[[#This Row],[Impact 5]]+Table4[[#This Row],[Impact 2]]+Table4[[#This Row],[Impact 1]]+1</f>
        <v>2.2000000000000002</v>
      </c>
      <c r="Q35" s="44"/>
      <c r="R35" s="44">
        <v>2.2000000000000002</v>
      </c>
      <c r="S35" s="44">
        <v>2.2000000000000002</v>
      </c>
      <c r="T35" s="44">
        <v>2.2000000000000002</v>
      </c>
      <c r="U35" s="44">
        <v>2.2000000000000002</v>
      </c>
      <c r="V35" s="44">
        <v>2.2000000000000002</v>
      </c>
      <c r="W35" s="44">
        <v>2.2000000000000002</v>
      </c>
      <c r="X35" s="44"/>
      <c r="Y35" s="44"/>
      <c r="Z35" s="44"/>
      <c r="AA35" s="44"/>
      <c r="AB35" s="44"/>
      <c r="AC35" s="44"/>
      <c r="AD35" s="44"/>
      <c r="AE35" s="44"/>
      <c r="AF35" s="44"/>
      <c r="AG35" s="26"/>
    </row>
  </sheetData>
  <phoneticPr fontId="1" type="noConversion"/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ECAC5-7540-4269-A802-B867617ADB27}">
  <sheetPr>
    <tabColor rgb="FFC00000"/>
  </sheetPr>
  <dimension ref="A1:T42"/>
  <sheetViews>
    <sheetView tabSelected="1" workbookViewId="0">
      <selection activeCell="T40" sqref="T40"/>
    </sheetView>
  </sheetViews>
  <sheetFormatPr defaultRowHeight="15" x14ac:dyDescent="0.25"/>
  <cols>
    <col min="1" max="1" width="9.85546875" bestFit="1" customWidth="1"/>
    <col min="2" max="2" width="15.5703125" customWidth="1"/>
    <col min="3" max="3" width="9" customWidth="1"/>
    <col min="4" max="6" width="8.7109375" customWidth="1"/>
    <col min="7" max="7" width="8.85546875" customWidth="1"/>
    <col min="8" max="8" width="8.7109375" customWidth="1"/>
    <col min="9" max="9" width="9.42578125" customWidth="1"/>
    <col min="10" max="13" width="8.7109375" customWidth="1"/>
    <col min="14" max="14" width="9.140625" customWidth="1"/>
    <col min="15" max="15" width="9" customWidth="1"/>
    <col min="16" max="18" width="8.7109375" customWidth="1"/>
  </cols>
  <sheetData>
    <row r="1" spans="1:20" s="14" customFormat="1" ht="26.25" x14ac:dyDescent="0.4">
      <c r="A1" s="14" t="s">
        <v>65</v>
      </c>
    </row>
    <row r="2" spans="1:20" x14ac:dyDescent="0.25">
      <c r="A2" t="s">
        <v>64</v>
      </c>
      <c r="B2" s="1"/>
    </row>
    <row r="4" spans="1:20" x14ac:dyDescent="0.25">
      <c r="A4" t="s">
        <v>66</v>
      </c>
      <c r="B4" t="s">
        <v>67</v>
      </c>
      <c r="C4" s="1" t="s">
        <v>5</v>
      </c>
      <c r="D4" s="1" t="s">
        <v>6</v>
      </c>
      <c r="E4" s="1" t="s">
        <v>7</v>
      </c>
      <c r="F4" s="1" t="s">
        <v>8</v>
      </c>
      <c r="G4" s="1" t="s">
        <v>9</v>
      </c>
      <c r="H4" s="1" t="s">
        <v>68</v>
      </c>
      <c r="I4" s="1" t="s">
        <v>69</v>
      </c>
      <c r="J4" s="1" t="s">
        <v>12</v>
      </c>
      <c r="K4" s="1" t="s">
        <v>13</v>
      </c>
      <c r="L4" s="1" t="s">
        <v>14</v>
      </c>
      <c r="M4" s="1" t="s">
        <v>15</v>
      </c>
      <c r="N4" s="1" t="s">
        <v>16</v>
      </c>
      <c r="O4" s="1" t="s">
        <v>17</v>
      </c>
      <c r="P4" s="1" t="s">
        <v>18</v>
      </c>
      <c r="Q4" s="1" t="s">
        <v>19</v>
      </c>
      <c r="R4" s="1" t="s">
        <v>20</v>
      </c>
      <c r="T4" s="1"/>
    </row>
    <row r="5" spans="1:20" x14ac:dyDescent="0.25">
      <c r="A5" t="str">
        <f>Départs!A6</f>
        <v>AM</v>
      </c>
      <c r="B5">
        <f>VLOOKUP(Charge[[#This Row],[Pays]],Départ[],3,FALSE)</f>
        <v>0</v>
      </c>
      <c r="C5">
        <f>VLOOKUP($A5,Départ[],3,FALSE)*VLOOKUP($A5,Table4[#All],18,FALSE)</f>
        <v>0</v>
      </c>
      <c r="D5">
        <f>VLOOKUP($A5,Départ[],4,FALSE)*VLOOKUP($A5,Table4[#All],19,FALSE)</f>
        <v>1.6</v>
      </c>
      <c r="E5">
        <f>VLOOKUP($A5,Départ[],5,FALSE)*VLOOKUP($A5,Table4[#All],20,FALSE)</f>
        <v>1.6</v>
      </c>
      <c r="F5">
        <f>VLOOKUP($A5,Départ[],6,FALSE)*VLOOKUP($A5,Table4[#All],21,FALSE)</f>
        <v>3.2</v>
      </c>
      <c r="G5">
        <f>VLOOKUP($A5,Départ[],7,FALSE)*VLOOKUP($A5,Table4[#All],22,FALSE)</f>
        <v>6.4</v>
      </c>
      <c r="H5">
        <f>VLOOKUP($A5,Départ[],8,FALSE)*VLOOKUP($A5,Table4[#All],23,FALSE)</f>
        <v>0</v>
      </c>
      <c r="I5">
        <f>VLOOKUP($A5,Départ[],9,FALSE)*VLOOKUP($A5,Table4[#All],24,FALSE)</f>
        <v>0</v>
      </c>
      <c r="J5">
        <f>VLOOKUP($A5,Départ[],10,FALSE)*VLOOKUP($A5,Table4[#All],25,FALSE)</f>
        <v>0</v>
      </c>
      <c r="K5">
        <f>VLOOKUP($A5,Départ[],11,FALSE)*VLOOKUP($A5,Table4[#All],26,FALSE)</f>
        <v>0</v>
      </c>
      <c r="L5">
        <f>VLOOKUP($A5,Départ[],12,FALSE)*VLOOKUP($A5,Table4[#All],27,FALSE)</f>
        <v>0</v>
      </c>
      <c r="M5">
        <f>VLOOKUP($A5,Départ[],13,FALSE)*VLOOKUP($A5,Table4[#All],28,FALSE)</f>
        <v>0</v>
      </c>
      <c r="N5">
        <f>VLOOKUP($A5,Départ[],14,FALSE)*VLOOKUP($A5,Table4[#All],29,FALSE)</f>
        <v>0</v>
      </c>
      <c r="O5">
        <f>VLOOKUP($A5,Départ[],15,FALSE)*VLOOKUP($A5,Table4[#All],30,FALSE)</f>
        <v>0</v>
      </c>
      <c r="P5">
        <f>VLOOKUP($A5,Départ[],16,FALSE)*VLOOKUP($A5,Table4[#All],31,FALSE)</f>
        <v>0</v>
      </c>
      <c r="Q5">
        <f>VLOOKUP($A5,Départ[],17,FALSE)*VLOOKUP($A5,Table4[#All],32,FALSE)</f>
        <v>0</v>
      </c>
      <c r="R5">
        <f>VLOOKUP($A5,Départ[],18,FALSE)*VLOOKUP($A5,Table4[#All],33,FALSE)</f>
        <v>0</v>
      </c>
    </row>
    <row r="6" spans="1:20" x14ac:dyDescent="0.25">
      <c r="A6" t="str">
        <f>Départs!A7</f>
        <v>AO</v>
      </c>
      <c r="B6">
        <f>VLOOKUP(Charge[[#This Row],[Pays]],Départ[],3,FALSE)</f>
        <v>1</v>
      </c>
      <c r="C6">
        <f>VLOOKUP($A6,Départ[],3,FALSE)*VLOOKUP($A6,Table4[#All],18,FALSE)</f>
        <v>2.5999999999999996</v>
      </c>
      <c r="D6">
        <f>VLOOKUP($A6,Départ[],4,FALSE)*VLOOKUP($A6,Table4[#All],19,FALSE)</f>
        <v>10.399999999999999</v>
      </c>
      <c r="E6">
        <f>VLOOKUP($A6,Départ[],5,FALSE)*VLOOKUP($A6,Table4[#All],20,FALSE)</f>
        <v>15.599999999999998</v>
      </c>
      <c r="F6">
        <f>VLOOKUP($A6,Départ[],6,FALSE)*VLOOKUP($A6,Table4[#All],21,FALSE)</f>
        <v>2.5999999999999996</v>
      </c>
      <c r="G6">
        <f>VLOOKUP($A6,Départ[],7,FALSE)*VLOOKUP($A6,Table4[#All],22,FALSE)</f>
        <v>7.7999999999999989</v>
      </c>
      <c r="H6">
        <f>VLOOKUP($A6,Départ[],8,FALSE)*VLOOKUP($A6,Table4[#All],23,FALSE)</f>
        <v>10.399999999999999</v>
      </c>
      <c r="I6">
        <f>VLOOKUP($A6,Départ[],9,FALSE)*VLOOKUP($A6,Table4[#All],24,FALSE)</f>
        <v>0</v>
      </c>
      <c r="J6">
        <f>VLOOKUP($A6,Départ[],10,FALSE)*VLOOKUP($A6,Table4[#All],25,FALSE)</f>
        <v>0</v>
      </c>
      <c r="K6">
        <f>VLOOKUP($A6,Départ[],11,FALSE)*VLOOKUP($A6,Table4[#All],26,FALSE)</f>
        <v>0</v>
      </c>
      <c r="L6">
        <f>VLOOKUP($A6,Départ[],12,FALSE)*VLOOKUP($A6,Table4[#All],27,FALSE)</f>
        <v>0</v>
      </c>
      <c r="M6">
        <f>VLOOKUP($A6,Départ[],13,FALSE)*VLOOKUP($A6,Table4[#All],28,FALSE)</f>
        <v>0</v>
      </c>
      <c r="N6">
        <f>VLOOKUP($A6,Départ[],14,FALSE)*VLOOKUP($A6,Table4[#All],29,FALSE)</f>
        <v>0</v>
      </c>
      <c r="O6">
        <f>VLOOKUP($A6,Départ[],15,FALSE)*VLOOKUP($A6,Table4[#All],30,FALSE)</f>
        <v>0</v>
      </c>
      <c r="P6">
        <f>VLOOKUP($A6,Départ[],16,FALSE)*VLOOKUP($A6,Table4[#All],31,FALSE)</f>
        <v>0</v>
      </c>
      <c r="Q6">
        <f>VLOOKUP($A6,Départ[],17,FALSE)*VLOOKUP($A6,Table4[#All],32,FALSE)</f>
        <v>0</v>
      </c>
      <c r="R6">
        <f>VLOOKUP($A6,Départ[],18,FALSE)*VLOOKUP($A6,Table4[#All],33,FALSE)</f>
        <v>0</v>
      </c>
    </row>
    <row r="7" spans="1:20" x14ac:dyDescent="0.25">
      <c r="A7" t="str">
        <f>Départs!A8</f>
        <v>BF</v>
      </c>
      <c r="B7">
        <f>VLOOKUP(Charge[[#This Row],[Pays]],Départ[],3,FALSE)</f>
        <v>2</v>
      </c>
      <c r="C7">
        <f>VLOOKUP($A7,Départ[],3,FALSE)*VLOOKUP($A7,Table4[#All],18,FALSE)</f>
        <v>2</v>
      </c>
      <c r="D7">
        <f>VLOOKUP($A7,Départ[],4,FALSE)*VLOOKUP($A7,Table4[#All],19,FALSE)</f>
        <v>3</v>
      </c>
      <c r="E7">
        <f>VLOOKUP($A7,Départ[],5,FALSE)*VLOOKUP($A7,Table4[#All],20,FALSE)</f>
        <v>1</v>
      </c>
      <c r="F7">
        <f>VLOOKUP($A7,Départ[],6,FALSE)*VLOOKUP($A7,Table4[#All],21,FALSE)</f>
        <v>12</v>
      </c>
      <c r="G7">
        <f>VLOOKUP($A7,Départ[],7,FALSE)*VLOOKUP($A7,Table4[#All],22,FALSE)</f>
        <v>7</v>
      </c>
      <c r="H7">
        <f>VLOOKUP($A7,Départ[],8,FALSE)*VLOOKUP($A7,Table4[#All],23,FALSE)</f>
        <v>7</v>
      </c>
      <c r="I7">
        <f>VLOOKUP($A7,Départ[],9,FALSE)*VLOOKUP($A7,Table4[#All],24,FALSE)</f>
        <v>0</v>
      </c>
      <c r="J7">
        <f>VLOOKUP($A7,Départ[],10,FALSE)*VLOOKUP($A7,Table4[#All],25,FALSE)</f>
        <v>0</v>
      </c>
      <c r="K7">
        <f>VLOOKUP($A7,Départ[],11,FALSE)*VLOOKUP($A7,Table4[#All],26,FALSE)</f>
        <v>0</v>
      </c>
      <c r="L7">
        <f>VLOOKUP($A7,Départ[],12,FALSE)*VLOOKUP($A7,Table4[#All],27,FALSE)</f>
        <v>0</v>
      </c>
      <c r="M7">
        <f>VLOOKUP($A7,Départ[],13,FALSE)*VLOOKUP($A7,Table4[#All],28,FALSE)</f>
        <v>0</v>
      </c>
      <c r="N7">
        <f>VLOOKUP($A7,Départ[],14,FALSE)*VLOOKUP($A7,Table4[#All],29,FALSE)</f>
        <v>0</v>
      </c>
      <c r="O7">
        <f>VLOOKUP($A7,Départ[],15,FALSE)*VLOOKUP($A7,Table4[#All],30,FALSE)</f>
        <v>0</v>
      </c>
      <c r="P7">
        <f>VLOOKUP($A7,Départ[],16,FALSE)*VLOOKUP($A7,Table4[#All],31,FALSE)</f>
        <v>0</v>
      </c>
      <c r="Q7">
        <f>VLOOKUP($A7,Départ[],17,FALSE)*VLOOKUP($A7,Table4[#All],32,FALSE)</f>
        <v>0</v>
      </c>
      <c r="R7">
        <f>VLOOKUP($A7,Départ[],18,FALSE)*VLOOKUP($A7,Table4[#All],33,FALSE)</f>
        <v>0</v>
      </c>
    </row>
    <row r="8" spans="1:20" x14ac:dyDescent="0.25">
      <c r="A8" t="str">
        <f>Départs!A9</f>
        <v>CD</v>
      </c>
      <c r="B8">
        <f>VLOOKUP(Charge[[#This Row],[Pays]],Départ[],3,FALSE)</f>
        <v>17</v>
      </c>
      <c r="C8">
        <f>VLOOKUP($A8,Départ[],3,FALSE)*VLOOKUP($A8,Table4[#All],18,FALSE)</f>
        <v>17</v>
      </c>
      <c r="D8">
        <f>VLOOKUP($A8,Départ[],4,FALSE)*VLOOKUP($A8,Table4[#All],19,FALSE)</f>
        <v>15</v>
      </c>
      <c r="E8">
        <f>VLOOKUP($A8,Départ[],5,FALSE)*VLOOKUP($A8,Table4[#All],20,FALSE)</f>
        <v>8</v>
      </c>
      <c r="F8">
        <f>VLOOKUP($A8,Départ[],6,FALSE)*VLOOKUP($A8,Table4[#All],21,FALSE)</f>
        <v>11</v>
      </c>
      <c r="G8">
        <f>VLOOKUP($A8,Départ[],7,FALSE)*VLOOKUP($A8,Table4[#All],22,FALSE)</f>
        <v>8</v>
      </c>
      <c r="H8">
        <f>VLOOKUP($A8,Départ[],8,FALSE)*VLOOKUP($A8,Table4[#All],23,FALSE)</f>
        <v>7</v>
      </c>
      <c r="I8">
        <f>VLOOKUP($A8,Départ[],9,FALSE)*VLOOKUP($A8,Table4[#All],24,FALSE)</f>
        <v>0</v>
      </c>
      <c r="J8">
        <f>VLOOKUP($A8,Départ[],10,FALSE)*VLOOKUP($A8,Table4[#All],25,FALSE)</f>
        <v>0</v>
      </c>
      <c r="K8">
        <f>VLOOKUP($A8,Départ[],11,FALSE)*VLOOKUP($A8,Table4[#All],26,FALSE)</f>
        <v>0</v>
      </c>
      <c r="L8">
        <f>VLOOKUP($A8,Départ[],12,FALSE)*VLOOKUP($A8,Table4[#All],27,FALSE)</f>
        <v>0</v>
      </c>
      <c r="M8">
        <f>VLOOKUP($A8,Départ[],13,FALSE)*VLOOKUP($A8,Table4[#All],28,FALSE)</f>
        <v>0</v>
      </c>
      <c r="N8">
        <f>VLOOKUP($A8,Départ[],14,FALSE)*VLOOKUP($A8,Table4[#All],29,FALSE)</f>
        <v>0</v>
      </c>
      <c r="O8">
        <f>VLOOKUP($A8,Départ[],15,FALSE)*VLOOKUP($A8,Table4[#All],30,FALSE)</f>
        <v>0</v>
      </c>
      <c r="P8">
        <f>VLOOKUP($A8,Départ[],16,FALSE)*VLOOKUP($A8,Table4[#All],31,FALSE)</f>
        <v>0</v>
      </c>
      <c r="Q8">
        <f>VLOOKUP($A8,Départ[],17,FALSE)*VLOOKUP($A8,Table4[#All],32,FALSE)</f>
        <v>0</v>
      </c>
      <c r="R8">
        <f>VLOOKUP($A8,Départ[],18,FALSE)*VLOOKUP($A8,Table4[#All],33,FALSE)</f>
        <v>0</v>
      </c>
    </row>
    <row r="9" spans="1:20" x14ac:dyDescent="0.25">
      <c r="A9" t="str">
        <f>Départs!A10</f>
        <v>CM</v>
      </c>
      <c r="B9">
        <f>VLOOKUP(Charge[[#This Row],[Pays]],Départ[],3,FALSE)</f>
        <v>3</v>
      </c>
      <c r="C9">
        <f>VLOOKUP($A9,Départ[],3,FALSE)*VLOOKUP($A9,Table4[#All],18,FALSE)</f>
        <v>4.1999999999999993</v>
      </c>
      <c r="D9">
        <f>VLOOKUP($A9,Départ[],4,FALSE)*VLOOKUP($A9,Table4[#All],19,FALSE)</f>
        <v>9.7999999999999989</v>
      </c>
      <c r="E9">
        <f>VLOOKUP($A9,Départ[],5,FALSE)*VLOOKUP($A9,Table4[#All],20,FALSE)</f>
        <v>1.4</v>
      </c>
      <c r="F9">
        <f>VLOOKUP($A9,Départ[],6,FALSE)*VLOOKUP($A9,Table4[#All],21,FALSE)</f>
        <v>4.1999999999999993</v>
      </c>
      <c r="G9">
        <f>VLOOKUP($A9,Départ[],7,FALSE)*VLOOKUP($A9,Table4[#All],22,FALSE)</f>
        <v>5.6</v>
      </c>
      <c r="H9">
        <f>VLOOKUP($A9,Départ[],8,FALSE)*VLOOKUP($A9,Table4[#All],23,FALSE)</f>
        <v>2.8</v>
      </c>
      <c r="I9">
        <f>VLOOKUP($A9,Départ[],9,FALSE)*VLOOKUP($A9,Table4[#All],24,FALSE)</f>
        <v>0</v>
      </c>
      <c r="J9">
        <f>VLOOKUP($A9,Départ[],10,FALSE)*VLOOKUP($A9,Table4[#All],25,FALSE)</f>
        <v>0</v>
      </c>
      <c r="K9">
        <f>VLOOKUP($A9,Départ[],11,FALSE)*VLOOKUP($A9,Table4[#All],26,FALSE)</f>
        <v>0</v>
      </c>
      <c r="L9">
        <f>VLOOKUP($A9,Départ[],12,FALSE)*VLOOKUP($A9,Table4[#All],27,FALSE)</f>
        <v>0</v>
      </c>
      <c r="M9">
        <f>VLOOKUP($A9,Départ[],13,FALSE)*VLOOKUP($A9,Table4[#All],28,FALSE)</f>
        <v>0</v>
      </c>
      <c r="N9">
        <f>VLOOKUP($A9,Départ[],14,FALSE)*VLOOKUP($A9,Table4[#All],29,FALSE)</f>
        <v>0</v>
      </c>
      <c r="O9">
        <f>VLOOKUP($A9,Départ[],15,FALSE)*VLOOKUP($A9,Table4[#All],30,FALSE)</f>
        <v>0</v>
      </c>
      <c r="P9">
        <f>VLOOKUP($A9,Départ[],16,FALSE)*VLOOKUP($A9,Table4[#All],31,FALSE)</f>
        <v>0</v>
      </c>
      <c r="Q9">
        <f>VLOOKUP($A9,Départ[],17,FALSE)*VLOOKUP($A9,Table4[#All],32,FALSE)</f>
        <v>0</v>
      </c>
      <c r="R9">
        <f>VLOOKUP($A9,Départ[],18,FALSE)*VLOOKUP($A9,Table4[#All],33,FALSE)</f>
        <v>0</v>
      </c>
    </row>
    <row r="10" spans="1:20" x14ac:dyDescent="0.25">
      <c r="A10" t="str">
        <f>Départs!A11</f>
        <v>GR</v>
      </c>
      <c r="B10">
        <f>VLOOKUP(Charge[[#This Row],[Pays]],Départ[],3,FALSE)</f>
        <v>4</v>
      </c>
      <c r="C10">
        <f>VLOOKUP($A10,Départ[],3,FALSE)*VLOOKUP($A10,Table4[#All],18,FALSE)</f>
        <v>4</v>
      </c>
      <c r="D10">
        <f>VLOOKUP($A10,Départ[],4,FALSE)*VLOOKUP($A10,Table4[#All],19,FALSE)</f>
        <v>0</v>
      </c>
      <c r="E10">
        <f>VLOOKUP($A10,Départ[],5,FALSE)*VLOOKUP($A10,Table4[#All],20,FALSE)</f>
        <v>6</v>
      </c>
      <c r="F10">
        <f>VLOOKUP($A10,Départ[],6,FALSE)*VLOOKUP($A10,Table4[#All],21,FALSE)</f>
        <v>4</v>
      </c>
      <c r="G10">
        <f>VLOOKUP($A10,Départ[],7,FALSE)*VLOOKUP($A10,Table4[#All],22,FALSE)</f>
        <v>1</v>
      </c>
      <c r="H10">
        <f>VLOOKUP($A10,Départ[],8,FALSE)*VLOOKUP($A10,Table4[#All],23,FALSE)</f>
        <v>0</v>
      </c>
      <c r="I10">
        <f>VLOOKUP($A10,Départ[],9,FALSE)*VLOOKUP($A10,Table4[#All],24,FALSE)</f>
        <v>0</v>
      </c>
      <c r="J10">
        <f>VLOOKUP($A10,Départ[],10,FALSE)*VLOOKUP($A10,Table4[#All],25,FALSE)</f>
        <v>0</v>
      </c>
      <c r="K10">
        <f>VLOOKUP($A10,Départ[],11,FALSE)*VLOOKUP($A10,Table4[#All],26,FALSE)</f>
        <v>0</v>
      </c>
      <c r="L10">
        <f>VLOOKUP($A10,Départ[],12,FALSE)*VLOOKUP($A10,Table4[#All],27,FALSE)</f>
        <v>0</v>
      </c>
      <c r="M10">
        <f>VLOOKUP($A10,Départ[],13,FALSE)*VLOOKUP($A10,Table4[#All],28,FALSE)</f>
        <v>0</v>
      </c>
      <c r="N10">
        <f>VLOOKUP($A10,Départ[],14,FALSE)*VLOOKUP($A10,Table4[#All],29,FALSE)</f>
        <v>0</v>
      </c>
      <c r="O10">
        <f>VLOOKUP($A10,Départ[],15,FALSE)*VLOOKUP($A10,Table4[#All],30,FALSE)</f>
        <v>0</v>
      </c>
      <c r="P10">
        <f>VLOOKUP($A10,Départ[],16,FALSE)*VLOOKUP($A10,Table4[#All],31,FALSE)</f>
        <v>0</v>
      </c>
      <c r="Q10">
        <f>VLOOKUP($A10,Départ[],17,FALSE)*VLOOKUP($A10,Table4[#All],32,FALSE)</f>
        <v>0</v>
      </c>
      <c r="R10">
        <f>VLOOKUP($A10,Départ[],18,FALSE)*VLOOKUP($A10,Table4[#All],33,FALSE)</f>
        <v>0</v>
      </c>
    </row>
    <row r="11" spans="1:20" x14ac:dyDescent="0.25">
      <c r="A11" t="str">
        <f>Départs!A12</f>
        <v>GT</v>
      </c>
      <c r="B11">
        <f>VLOOKUP(Charge[[#This Row],[Pays]],Départ[],3,FALSE)</f>
        <v>1</v>
      </c>
      <c r="C11">
        <f>VLOOKUP($A11,Départ[],3,FALSE)*VLOOKUP($A11,Table4[#All],18,FALSE)</f>
        <v>1</v>
      </c>
      <c r="D11">
        <f>VLOOKUP($A11,Départ[],4,FALSE)*VLOOKUP($A11,Table4[#All],19,FALSE)</f>
        <v>2</v>
      </c>
      <c r="E11">
        <f>VLOOKUP($A11,Départ[],5,FALSE)*VLOOKUP($A11,Table4[#All],20,FALSE)</f>
        <v>2</v>
      </c>
      <c r="F11">
        <f>VLOOKUP($A11,Départ[],6,FALSE)*VLOOKUP($A11,Table4[#All],21,FALSE)</f>
        <v>3</v>
      </c>
      <c r="G11">
        <f>VLOOKUP($A11,Départ[],7,FALSE)*VLOOKUP($A11,Table4[#All],22,FALSE)</f>
        <v>1</v>
      </c>
      <c r="H11">
        <f>VLOOKUP($A11,Départ[],8,FALSE)*VLOOKUP($A11,Table4[#All],23,FALSE)</f>
        <v>1</v>
      </c>
      <c r="I11">
        <f>VLOOKUP($A11,Départ[],9,FALSE)*VLOOKUP($A11,Table4[#All],24,FALSE)</f>
        <v>0</v>
      </c>
      <c r="J11">
        <f>VLOOKUP($A11,Départ[],10,FALSE)*VLOOKUP($A11,Table4[#All],25,FALSE)</f>
        <v>0</v>
      </c>
      <c r="K11">
        <f>VLOOKUP($A11,Départ[],11,FALSE)*VLOOKUP($A11,Table4[#All],26,FALSE)</f>
        <v>0</v>
      </c>
      <c r="L11">
        <f>VLOOKUP($A11,Départ[],12,FALSE)*VLOOKUP($A11,Table4[#All],27,FALSE)</f>
        <v>0</v>
      </c>
      <c r="M11">
        <f>VLOOKUP($A11,Départ[],13,FALSE)*VLOOKUP($A11,Table4[#All],28,FALSE)</f>
        <v>0</v>
      </c>
      <c r="N11">
        <f>VLOOKUP($A11,Départ[],14,FALSE)*VLOOKUP($A11,Table4[#All],29,FALSE)</f>
        <v>0</v>
      </c>
      <c r="O11">
        <f>VLOOKUP($A11,Départ[],15,FALSE)*VLOOKUP($A11,Table4[#All],30,FALSE)</f>
        <v>0</v>
      </c>
      <c r="P11">
        <f>VLOOKUP($A11,Départ[],16,FALSE)*VLOOKUP($A11,Table4[#All],31,FALSE)</f>
        <v>0</v>
      </c>
      <c r="Q11">
        <f>VLOOKUP($A11,Départ[],17,FALSE)*VLOOKUP($A11,Table4[#All],32,FALSE)</f>
        <v>0</v>
      </c>
      <c r="R11">
        <f>VLOOKUP($A11,Départ[],18,FALSE)*VLOOKUP($A11,Table4[#All],33,FALSE)</f>
        <v>0</v>
      </c>
    </row>
    <row r="12" spans="1:20" x14ac:dyDescent="0.25">
      <c r="A12" t="str">
        <f>Départs!A13</f>
        <v>HN</v>
      </c>
      <c r="B12">
        <f>VLOOKUP(Charge[[#This Row],[Pays]],Départ[],3,FALSE)</f>
        <v>3</v>
      </c>
      <c r="C12">
        <f>VLOOKUP($A12,Départ[],3,FALSE)*VLOOKUP($A12,Table4[#All],18,FALSE)</f>
        <v>3</v>
      </c>
      <c r="D12">
        <f>VLOOKUP($A12,Départ[],4,FALSE)*VLOOKUP($A12,Table4[#All],19,FALSE)</f>
        <v>0</v>
      </c>
      <c r="E12">
        <f>VLOOKUP($A12,Départ[],5,FALSE)*VLOOKUP($A12,Table4[#All],20,FALSE)</f>
        <v>1</v>
      </c>
      <c r="F12">
        <f>VLOOKUP($A12,Départ[],6,FALSE)*VLOOKUP($A12,Table4[#All],21,FALSE)</f>
        <v>1</v>
      </c>
      <c r="G12">
        <f>VLOOKUP($A12,Départ[],7,FALSE)*VLOOKUP($A12,Table4[#All],22,FALSE)</f>
        <v>2</v>
      </c>
      <c r="H12">
        <f>VLOOKUP($A12,Départ[],8,FALSE)*VLOOKUP($A12,Table4[#All],23,FALSE)</f>
        <v>0</v>
      </c>
      <c r="I12">
        <f>VLOOKUP($A12,Départ[],9,FALSE)*VLOOKUP($A12,Table4[#All],24,FALSE)</f>
        <v>0</v>
      </c>
      <c r="J12">
        <f>VLOOKUP($A12,Départ[],10,FALSE)*VLOOKUP($A12,Table4[#All],25,FALSE)</f>
        <v>0</v>
      </c>
      <c r="K12">
        <f>VLOOKUP($A12,Départ[],11,FALSE)*VLOOKUP($A12,Table4[#All],26,FALSE)</f>
        <v>0</v>
      </c>
      <c r="L12">
        <f>VLOOKUP($A12,Départ[],12,FALSE)*VLOOKUP($A12,Table4[#All],27,FALSE)</f>
        <v>0</v>
      </c>
      <c r="M12">
        <f>VLOOKUP($A12,Départ[],13,FALSE)*VLOOKUP($A12,Table4[#All],28,FALSE)</f>
        <v>0</v>
      </c>
      <c r="N12">
        <f>VLOOKUP($A12,Départ[],14,FALSE)*VLOOKUP($A12,Table4[#All],29,FALSE)</f>
        <v>0</v>
      </c>
      <c r="O12">
        <f>VLOOKUP($A12,Départ[],15,FALSE)*VLOOKUP($A12,Table4[#All],30,FALSE)</f>
        <v>0</v>
      </c>
      <c r="P12">
        <f>VLOOKUP($A12,Départ[],16,FALSE)*VLOOKUP($A12,Table4[#All],31,FALSE)</f>
        <v>0</v>
      </c>
      <c r="Q12">
        <f>VLOOKUP($A12,Départ[],17,FALSE)*VLOOKUP($A12,Table4[#All],32,FALSE)</f>
        <v>0</v>
      </c>
      <c r="R12">
        <f>VLOOKUP($A12,Départ[],18,FALSE)*VLOOKUP($A12,Table4[#All],33,FALSE)</f>
        <v>0</v>
      </c>
    </row>
    <row r="13" spans="1:20" x14ac:dyDescent="0.25">
      <c r="A13" t="str">
        <f>Départs!A14</f>
        <v>IQ</v>
      </c>
      <c r="B13">
        <f>VLOOKUP(Charge[[#This Row],[Pays]],Départ[],3,FALSE)</f>
        <v>10</v>
      </c>
      <c r="C13">
        <f>VLOOKUP($A13,Départ[],3,FALSE)*VLOOKUP($A13,Table4[#All],18,FALSE)</f>
        <v>16</v>
      </c>
      <c r="D13">
        <f>VLOOKUP($A13,Départ[],4,FALSE)*VLOOKUP($A13,Table4[#All],19,FALSE)</f>
        <v>12.8</v>
      </c>
      <c r="E13">
        <f>VLOOKUP($A13,Départ[],5,FALSE)*VLOOKUP($A13,Table4[#All],20,FALSE)</f>
        <v>3.2</v>
      </c>
      <c r="F13">
        <f>VLOOKUP($A13,Départ[],6,FALSE)*VLOOKUP($A13,Table4[#All],21,FALSE)</f>
        <v>8</v>
      </c>
      <c r="G13">
        <f>VLOOKUP($A13,Départ[],7,FALSE)*VLOOKUP($A13,Table4[#All],22,FALSE)</f>
        <v>16</v>
      </c>
      <c r="H13">
        <f>VLOOKUP($A13,Départ[],8,FALSE)*VLOOKUP($A13,Table4[#All],23,FALSE)</f>
        <v>9.6000000000000014</v>
      </c>
      <c r="I13">
        <f>VLOOKUP($A13,Départ[],9,FALSE)*VLOOKUP($A13,Table4[#All],24,FALSE)</f>
        <v>0</v>
      </c>
      <c r="J13">
        <f>VLOOKUP($A13,Départ[],10,FALSE)*VLOOKUP($A13,Table4[#All],25,FALSE)</f>
        <v>0</v>
      </c>
      <c r="K13">
        <f>VLOOKUP($A13,Départ[],11,FALSE)*VLOOKUP($A13,Table4[#All],26,FALSE)</f>
        <v>0</v>
      </c>
      <c r="L13">
        <f>VLOOKUP($A13,Départ[],12,FALSE)*VLOOKUP($A13,Table4[#All],27,FALSE)</f>
        <v>0</v>
      </c>
      <c r="M13">
        <f>VLOOKUP($A13,Départ[],13,FALSE)*VLOOKUP($A13,Table4[#All],28,FALSE)</f>
        <v>0</v>
      </c>
      <c r="N13">
        <f>VLOOKUP($A13,Départ[],14,FALSE)*VLOOKUP($A13,Table4[#All],29,FALSE)</f>
        <v>0</v>
      </c>
      <c r="O13">
        <f>VLOOKUP($A13,Départ[],15,FALSE)*VLOOKUP($A13,Table4[#All],30,FALSE)</f>
        <v>0</v>
      </c>
      <c r="P13">
        <f>VLOOKUP($A13,Départ[],16,FALSE)*VLOOKUP($A13,Table4[#All],31,FALSE)</f>
        <v>0</v>
      </c>
      <c r="Q13">
        <f>VLOOKUP($A13,Départ[],17,FALSE)*VLOOKUP($A13,Table4[#All],32,FALSE)</f>
        <v>0</v>
      </c>
      <c r="R13">
        <f>VLOOKUP($A13,Départ[],18,FALSE)*VLOOKUP($A13,Table4[#All],33,FALSE)</f>
        <v>0</v>
      </c>
    </row>
    <row r="14" spans="1:20" x14ac:dyDescent="0.25">
      <c r="A14" t="str">
        <f>Départs!A15</f>
        <v>IR</v>
      </c>
      <c r="B14">
        <f>VLOOKUP(Charge[[#This Row],[Pays]],Départ[],3,FALSE)</f>
        <v>0</v>
      </c>
      <c r="C14">
        <f>VLOOKUP($A14,Départ[],3,FALSE)*VLOOKUP($A14,Table4[#All],18,FALSE)</f>
        <v>0</v>
      </c>
      <c r="D14">
        <f>VLOOKUP($A14,Départ[],4,FALSE)*VLOOKUP($A14,Table4[#All],19,FALSE)</f>
        <v>4</v>
      </c>
      <c r="E14">
        <f>VLOOKUP($A14,Départ[],5,FALSE)*VLOOKUP($A14,Table4[#All],20,FALSE)</f>
        <v>0</v>
      </c>
      <c r="F14">
        <f>VLOOKUP($A14,Départ[],6,FALSE)*VLOOKUP($A14,Table4[#All],21,FALSE)</f>
        <v>0</v>
      </c>
      <c r="G14">
        <f>VLOOKUP($A14,Départ[],7,FALSE)*VLOOKUP($A14,Table4[#All],22,FALSE)</f>
        <v>2</v>
      </c>
      <c r="H14">
        <f>VLOOKUP($A14,Départ[],8,FALSE)*VLOOKUP($A14,Table4[#All],23,FALSE)</f>
        <v>0</v>
      </c>
      <c r="I14">
        <f>VLOOKUP($A14,Départ[],9,FALSE)*VLOOKUP($A14,Table4[#All],24,FALSE)</f>
        <v>0</v>
      </c>
      <c r="J14">
        <f>VLOOKUP($A14,Départ[],10,FALSE)*VLOOKUP($A14,Table4[#All],25,FALSE)</f>
        <v>0</v>
      </c>
      <c r="K14">
        <f>VLOOKUP($A14,Départ[],11,FALSE)*VLOOKUP($A14,Table4[#All],26,FALSE)</f>
        <v>0</v>
      </c>
      <c r="L14">
        <f>VLOOKUP($A14,Départ[],12,FALSE)*VLOOKUP($A14,Table4[#All],27,FALSE)</f>
        <v>0</v>
      </c>
      <c r="M14">
        <f>VLOOKUP($A14,Départ[],13,FALSE)*VLOOKUP($A14,Table4[#All],28,FALSE)</f>
        <v>0</v>
      </c>
      <c r="N14">
        <f>VLOOKUP($A14,Départ[],14,FALSE)*VLOOKUP($A14,Table4[#All],29,FALSE)</f>
        <v>0</v>
      </c>
      <c r="O14">
        <f>VLOOKUP($A14,Départ[],15,FALSE)*VLOOKUP($A14,Table4[#All],30,FALSE)</f>
        <v>0</v>
      </c>
      <c r="P14">
        <f>VLOOKUP($A14,Départ[],16,FALSE)*VLOOKUP($A14,Table4[#All],31,FALSE)</f>
        <v>0</v>
      </c>
      <c r="Q14">
        <f>VLOOKUP($A14,Départ[],17,FALSE)*VLOOKUP($A14,Table4[#All],32,FALSE)</f>
        <v>0</v>
      </c>
      <c r="R14">
        <f>VLOOKUP($A14,Départ[],18,FALSE)*VLOOKUP($A14,Table4[#All],33,FALSE)</f>
        <v>0</v>
      </c>
    </row>
    <row r="15" spans="1:20" x14ac:dyDescent="0.25">
      <c r="A15" t="str">
        <f>Départs!A16</f>
        <v>JO</v>
      </c>
      <c r="B15">
        <f>VLOOKUP(Charge[[#This Row],[Pays]],Départ[],3,FALSE)</f>
        <v>0</v>
      </c>
      <c r="C15">
        <f>VLOOKUP($A15,Départ[],3,FALSE)*VLOOKUP($A15,Table4[#All],18,FALSE)</f>
        <v>0</v>
      </c>
      <c r="D15">
        <f>VLOOKUP($A15,Départ[],4,FALSE)*VLOOKUP($A15,Table4[#All],19,FALSE)</f>
        <v>0</v>
      </c>
      <c r="E15">
        <f>VLOOKUP($A15,Départ[],5,FALSE)*VLOOKUP($A15,Table4[#All],20,FALSE)</f>
        <v>0</v>
      </c>
      <c r="F15">
        <f>VLOOKUP($A15,Départ[],6,FALSE)*VLOOKUP($A15,Table4[#All],21,FALSE)</f>
        <v>0</v>
      </c>
      <c r="G15">
        <f>VLOOKUP($A15,Départ[],7,FALSE)*VLOOKUP($A15,Table4[#All],22,FALSE)</f>
        <v>2</v>
      </c>
      <c r="H15">
        <f>VLOOKUP($A15,Départ[],8,FALSE)*VLOOKUP($A15,Table4[#All],23,FALSE)</f>
        <v>1</v>
      </c>
      <c r="I15">
        <f>VLOOKUP($A15,Départ[],9,FALSE)*VLOOKUP($A15,Table4[#All],24,FALSE)</f>
        <v>0</v>
      </c>
      <c r="J15">
        <f>VLOOKUP($A15,Départ[],10,FALSE)*VLOOKUP($A15,Table4[#All],25,FALSE)</f>
        <v>0</v>
      </c>
      <c r="K15">
        <f>VLOOKUP($A15,Départ[],11,FALSE)*VLOOKUP($A15,Table4[#All],26,FALSE)</f>
        <v>0</v>
      </c>
      <c r="L15">
        <f>VLOOKUP($A15,Départ[],12,FALSE)*VLOOKUP($A15,Table4[#All],27,FALSE)</f>
        <v>0</v>
      </c>
      <c r="M15">
        <f>VLOOKUP($A15,Départ[],13,FALSE)*VLOOKUP($A15,Table4[#All],28,FALSE)</f>
        <v>0</v>
      </c>
      <c r="N15">
        <f>VLOOKUP($A15,Départ[],14,FALSE)*VLOOKUP($A15,Table4[#All],29,FALSE)</f>
        <v>0</v>
      </c>
      <c r="O15">
        <f>VLOOKUP($A15,Départ[],15,FALSE)*VLOOKUP($A15,Table4[#All],30,FALSE)</f>
        <v>0</v>
      </c>
      <c r="P15">
        <f>VLOOKUP($A15,Départ[],16,FALSE)*VLOOKUP($A15,Table4[#All],31,FALSE)</f>
        <v>0</v>
      </c>
      <c r="Q15">
        <f>VLOOKUP($A15,Départ[],17,FALSE)*VLOOKUP($A15,Table4[#All],32,FALSE)</f>
        <v>0</v>
      </c>
      <c r="R15">
        <f>VLOOKUP($A15,Départ[],18,FALSE)*VLOOKUP($A15,Table4[#All],33,FALSE)</f>
        <v>0</v>
      </c>
    </row>
    <row r="16" spans="1:20" x14ac:dyDescent="0.25">
      <c r="A16" t="str">
        <f>Départs!A17</f>
        <v>KE</v>
      </c>
      <c r="B16">
        <f>VLOOKUP(Charge[[#This Row],[Pays]],Départ[],3,FALSE)</f>
        <v>0</v>
      </c>
      <c r="C16">
        <f>VLOOKUP($A16,Départ[],3,FALSE)*VLOOKUP($A16,Table4[#All],18,FALSE)</f>
        <v>0</v>
      </c>
      <c r="D16">
        <f>VLOOKUP($A16,Départ[],4,FALSE)*VLOOKUP($A16,Table4[#All],19,FALSE)</f>
        <v>2.8</v>
      </c>
      <c r="E16">
        <f>VLOOKUP($A16,Départ[],5,FALSE)*VLOOKUP($A16,Table4[#All],20,FALSE)</f>
        <v>2.8</v>
      </c>
      <c r="F16">
        <f>VLOOKUP($A16,Départ[],6,FALSE)*VLOOKUP($A16,Table4[#All],21,FALSE)</f>
        <v>8.3999999999999986</v>
      </c>
      <c r="G16">
        <f>VLOOKUP($A16,Départ[],7,FALSE)*VLOOKUP($A16,Table4[#All],22,FALSE)</f>
        <v>11.2</v>
      </c>
      <c r="H16">
        <f>VLOOKUP($A16,Départ[],8,FALSE)*VLOOKUP($A16,Table4[#All],23,FALSE)</f>
        <v>0</v>
      </c>
      <c r="I16">
        <f>VLOOKUP($A16,Départ[],9,FALSE)*VLOOKUP($A16,Table4[#All],24,FALSE)</f>
        <v>0</v>
      </c>
      <c r="J16">
        <f>VLOOKUP($A16,Départ[],10,FALSE)*VLOOKUP($A16,Table4[#All],25,FALSE)</f>
        <v>0</v>
      </c>
      <c r="K16">
        <f>VLOOKUP($A16,Départ[],11,FALSE)*VLOOKUP($A16,Table4[#All],26,FALSE)</f>
        <v>0</v>
      </c>
      <c r="L16">
        <f>VLOOKUP($A16,Départ[],12,FALSE)*VLOOKUP($A16,Table4[#All],27,FALSE)</f>
        <v>0</v>
      </c>
      <c r="M16">
        <f>VLOOKUP($A16,Départ[],13,FALSE)*VLOOKUP($A16,Table4[#All],28,FALSE)</f>
        <v>0</v>
      </c>
      <c r="N16">
        <f>VLOOKUP($A16,Départ[],14,FALSE)*VLOOKUP($A16,Table4[#All],29,FALSE)</f>
        <v>0</v>
      </c>
      <c r="O16">
        <f>VLOOKUP($A16,Départ[],15,FALSE)*VLOOKUP($A16,Table4[#All],30,FALSE)</f>
        <v>0</v>
      </c>
      <c r="P16">
        <f>VLOOKUP($A16,Départ[],16,FALSE)*VLOOKUP($A16,Table4[#All],31,FALSE)</f>
        <v>0</v>
      </c>
      <c r="Q16">
        <f>VLOOKUP($A16,Départ[],17,FALSE)*VLOOKUP($A16,Table4[#All],32,FALSE)</f>
        <v>0</v>
      </c>
      <c r="R16">
        <f>VLOOKUP($A16,Départ[],18,FALSE)*VLOOKUP($A16,Table4[#All],33,FALSE)</f>
        <v>0</v>
      </c>
    </row>
    <row r="17" spans="1:18" x14ac:dyDescent="0.25">
      <c r="A17" t="str">
        <f>Départs!A18</f>
        <v>KG</v>
      </c>
      <c r="B17">
        <f>VLOOKUP(Charge[[#This Row],[Pays]],Départ[],3,FALSE)</f>
        <v>1</v>
      </c>
      <c r="C17">
        <f>VLOOKUP($A17,Départ[],3,FALSE)*VLOOKUP($A17,Table4[#All],18,FALSE)</f>
        <v>1</v>
      </c>
      <c r="D17">
        <f>VLOOKUP($A17,Départ[],4,FALSE)*VLOOKUP($A17,Table4[#All],19,FALSE)</f>
        <v>6</v>
      </c>
      <c r="E17">
        <f>VLOOKUP($A17,Départ[],5,FALSE)*VLOOKUP($A17,Table4[#All],20,FALSE)</f>
        <v>1</v>
      </c>
      <c r="F17">
        <f>VLOOKUP($A17,Départ[],6,FALSE)*VLOOKUP($A17,Table4[#All],21,FALSE)</f>
        <v>4</v>
      </c>
      <c r="G17">
        <f>VLOOKUP($A17,Départ[],7,FALSE)*VLOOKUP($A17,Table4[#All],22,FALSE)</f>
        <v>11</v>
      </c>
      <c r="H17">
        <f>VLOOKUP($A17,Départ[],8,FALSE)*VLOOKUP($A17,Table4[#All],23,FALSE)</f>
        <v>2</v>
      </c>
      <c r="I17">
        <f>VLOOKUP($A17,Départ[],9,FALSE)*VLOOKUP($A17,Table4[#All],24,FALSE)</f>
        <v>0</v>
      </c>
      <c r="J17">
        <f>VLOOKUP($A17,Départ[],10,FALSE)*VLOOKUP($A17,Table4[#All],25,FALSE)</f>
        <v>0</v>
      </c>
      <c r="K17">
        <f>VLOOKUP($A17,Départ[],11,FALSE)*VLOOKUP($A17,Table4[#All],26,FALSE)</f>
        <v>0</v>
      </c>
      <c r="L17">
        <f>VLOOKUP($A17,Départ[],12,FALSE)*VLOOKUP($A17,Table4[#All],27,FALSE)</f>
        <v>0</v>
      </c>
      <c r="M17">
        <f>VLOOKUP($A17,Départ[],13,FALSE)*VLOOKUP($A17,Table4[#All],28,FALSE)</f>
        <v>0</v>
      </c>
      <c r="N17">
        <f>VLOOKUP($A17,Départ[],14,FALSE)*VLOOKUP($A17,Table4[#All],29,FALSE)</f>
        <v>0</v>
      </c>
      <c r="O17">
        <f>VLOOKUP($A17,Départ[],15,FALSE)*VLOOKUP($A17,Table4[#All],30,FALSE)</f>
        <v>0</v>
      </c>
      <c r="P17">
        <f>VLOOKUP($A17,Départ[],16,FALSE)*VLOOKUP($A17,Table4[#All],31,FALSE)</f>
        <v>0</v>
      </c>
      <c r="Q17">
        <f>VLOOKUP($A17,Départ[],17,FALSE)*VLOOKUP($A17,Table4[#All],32,FALSE)</f>
        <v>0</v>
      </c>
      <c r="R17">
        <f>VLOOKUP($A17,Départ[],18,FALSE)*VLOOKUP($A17,Table4[#All],33,FALSE)</f>
        <v>0</v>
      </c>
    </row>
    <row r="18" spans="1:18" x14ac:dyDescent="0.25">
      <c r="A18" t="str">
        <f>Départs!A19</f>
        <v>LB</v>
      </c>
      <c r="B18">
        <f>VLOOKUP(Charge[[#This Row],[Pays]],Départ[],3,FALSE)</f>
        <v>8</v>
      </c>
      <c r="C18">
        <f>VLOOKUP($A18,Départ[],3,FALSE)*VLOOKUP($A18,Table4[#All],18,FALSE)</f>
        <v>8</v>
      </c>
      <c r="D18">
        <f>VLOOKUP($A18,Départ[],4,FALSE)*VLOOKUP($A18,Table4[#All],19,FALSE)</f>
        <v>4</v>
      </c>
      <c r="E18">
        <f>VLOOKUP($A18,Départ[],5,FALSE)*VLOOKUP($A18,Table4[#All],20,FALSE)</f>
        <v>3</v>
      </c>
      <c r="F18">
        <f>VLOOKUP($A18,Départ[],6,FALSE)*VLOOKUP($A18,Table4[#All],21,FALSE)</f>
        <v>4</v>
      </c>
      <c r="G18">
        <f>VLOOKUP($A18,Départ[],7,FALSE)*VLOOKUP($A18,Table4[#All],22,FALSE)</f>
        <v>3</v>
      </c>
      <c r="H18">
        <f>VLOOKUP($A18,Départ[],8,FALSE)*VLOOKUP($A18,Table4[#All],23,FALSE)</f>
        <v>2</v>
      </c>
      <c r="I18">
        <f>VLOOKUP($A18,Départ[],9,FALSE)*VLOOKUP($A18,Table4[#All],24,FALSE)</f>
        <v>0</v>
      </c>
      <c r="J18">
        <f>VLOOKUP($A18,Départ[],10,FALSE)*VLOOKUP($A18,Table4[#All],25,FALSE)</f>
        <v>0</v>
      </c>
      <c r="K18">
        <f>VLOOKUP($A18,Départ[],11,FALSE)*VLOOKUP($A18,Table4[#All],26,FALSE)</f>
        <v>0</v>
      </c>
      <c r="L18">
        <f>VLOOKUP($A18,Départ[],12,FALSE)*VLOOKUP($A18,Table4[#All],27,FALSE)</f>
        <v>0</v>
      </c>
      <c r="M18">
        <f>VLOOKUP($A18,Départ[],13,FALSE)*VLOOKUP($A18,Table4[#All],28,FALSE)</f>
        <v>0</v>
      </c>
      <c r="N18">
        <f>VLOOKUP($A18,Départ[],14,FALSE)*VLOOKUP($A18,Table4[#All],29,FALSE)</f>
        <v>0</v>
      </c>
      <c r="O18">
        <f>VLOOKUP($A18,Départ[],15,FALSE)*VLOOKUP($A18,Table4[#All],30,FALSE)</f>
        <v>0</v>
      </c>
      <c r="P18">
        <f>VLOOKUP($A18,Départ[],16,FALSE)*VLOOKUP($A18,Table4[#All],31,FALSE)</f>
        <v>0</v>
      </c>
      <c r="Q18">
        <f>VLOOKUP($A18,Départ[],17,FALSE)*VLOOKUP($A18,Table4[#All],32,FALSE)</f>
        <v>0</v>
      </c>
      <c r="R18">
        <f>VLOOKUP($A18,Départ[],18,FALSE)*VLOOKUP($A18,Table4[#All],33,FALSE)</f>
        <v>0</v>
      </c>
    </row>
    <row r="19" spans="1:18" x14ac:dyDescent="0.25">
      <c r="A19" t="str">
        <f>Départs!A20</f>
        <v>MG</v>
      </c>
      <c r="B19">
        <f>VLOOKUP(Charge[[#This Row],[Pays]],Départ[],3,FALSE)</f>
        <v>0</v>
      </c>
      <c r="C19">
        <f>VLOOKUP($A19,Départ[],3,FALSE)*VLOOKUP($A19,Table4[#All],18,FALSE)</f>
        <v>0</v>
      </c>
      <c r="D19">
        <f>VLOOKUP($A19,Départ[],4,FALSE)*VLOOKUP($A19,Table4[#All],19,FALSE)</f>
        <v>0</v>
      </c>
      <c r="E19">
        <f>VLOOKUP($A19,Départ[],5,FALSE)*VLOOKUP($A19,Table4[#All],20,FALSE)</f>
        <v>7.1999999999999993</v>
      </c>
      <c r="F19">
        <f>VLOOKUP($A19,Départ[],6,FALSE)*VLOOKUP($A19,Table4[#All],21,FALSE)</f>
        <v>2.4</v>
      </c>
      <c r="G19">
        <f>VLOOKUP($A19,Départ[],7,FALSE)*VLOOKUP($A19,Table4[#All],22,FALSE)</f>
        <v>19.2</v>
      </c>
      <c r="H19">
        <f>VLOOKUP($A19,Départ[],8,FALSE)*VLOOKUP($A19,Table4[#All],23,FALSE)</f>
        <v>0</v>
      </c>
      <c r="I19">
        <f>VLOOKUP($A19,Départ[],9,FALSE)*VLOOKUP($A19,Table4[#All],24,FALSE)</f>
        <v>0</v>
      </c>
      <c r="J19">
        <f>VLOOKUP($A19,Départ[],10,FALSE)*VLOOKUP($A19,Table4[#All],25,FALSE)</f>
        <v>0</v>
      </c>
      <c r="K19">
        <f>VLOOKUP($A19,Départ[],11,FALSE)*VLOOKUP($A19,Table4[#All],26,FALSE)</f>
        <v>0</v>
      </c>
      <c r="L19">
        <f>VLOOKUP($A19,Départ[],12,FALSE)*VLOOKUP($A19,Table4[#All],27,FALSE)</f>
        <v>0</v>
      </c>
      <c r="M19">
        <f>VLOOKUP($A19,Départ[],13,FALSE)*VLOOKUP($A19,Table4[#All],28,FALSE)</f>
        <v>0</v>
      </c>
      <c r="N19">
        <f>VLOOKUP($A19,Départ[],14,FALSE)*VLOOKUP($A19,Table4[#All],29,FALSE)</f>
        <v>0</v>
      </c>
      <c r="O19">
        <f>VLOOKUP($A19,Départ[],15,FALSE)*VLOOKUP($A19,Table4[#All],30,FALSE)</f>
        <v>0</v>
      </c>
      <c r="P19">
        <f>VLOOKUP($A19,Départ[],16,FALSE)*VLOOKUP($A19,Table4[#All],31,FALSE)</f>
        <v>0</v>
      </c>
      <c r="Q19">
        <f>VLOOKUP($A19,Départ[],17,FALSE)*VLOOKUP($A19,Table4[#All],32,FALSE)</f>
        <v>0</v>
      </c>
      <c r="R19">
        <f>VLOOKUP($A19,Départ[],18,FALSE)*VLOOKUP($A19,Table4[#All],33,FALSE)</f>
        <v>0</v>
      </c>
    </row>
    <row r="20" spans="1:18" x14ac:dyDescent="0.25">
      <c r="A20" t="str">
        <f>Départs!A21</f>
        <v>MM</v>
      </c>
      <c r="B20">
        <f>VLOOKUP(Charge[[#This Row],[Pays]],Départ[],3,FALSE)</f>
        <v>1</v>
      </c>
      <c r="C20">
        <f>VLOOKUP($A20,Départ[],3,FALSE)*VLOOKUP($A20,Table4[#All],18,FALSE)</f>
        <v>1.8</v>
      </c>
      <c r="D20">
        <f>VLOOKUP($A20,Départ[],4,FALSE)*VLOOKUP($A20,Table4[#All],19,FALSE)</f>
        <v>0</v>
      </c>
      <c r="E20">
        <f>VLOOKUP($A20,Départ[],5,FALSE)*VLOOKUP($A20,Table4[#All],20,FALSE)</f>
        <v>5.4</v>
      </c>
      <c r="F20">
        <f>VLOOKUP($A20,Départ[],6,FALSE)*VLOOKUP($A20,Table4[#All],21,FALSE)</f>
        <v>5.4</v>
      </c>
      <c r="G20">
        <f>VLOOKUP($A20,Départ[],7,FALSE)*VLOOKUP($A20,Table4[#All],22,FALSE)</f>
        <v>0</v>
      </c>
      <c r="H20">
        <f>VLOOKUP($A20,Départ[],8,FALSE)*VLOOKUP($A20,Table4[#All],23,FALSE)</f>
        <v>0</v>
      </c>
      <c r="I20">
        <f>VLOOKUP($A20,Départ[],9,FALSE)*VLOOKUP($A20,Table4[#All],24,FALSE)</f>
        <v>0</v>
      </c>
      <c r="J20">
        <f>VLOOKUP($A20,Départ[],10,FALSE)*VLOOKUP($A20,Table4[#All],25,FALSE)</f>
        <v>0</v>
      </c>
      <c r="K20">
        <f>VLOOKUP($A20,Départ[],11,FALSE)*VLOOKUP($A20,Table4[#All],26,FALSE)</f>
        <v>0</v>
      </c>
      <c r="L20">
        <f>VLOOKUP($A20,Départ[],12,FALSE)*VLOOKUP($A20,Table4[#All],27,FALSE)</f>
        <v>0</v>
      </c>
      <c r="M20">
        <f>VLOOKUP($A20,Départ[],13,FALSE)*VLOOKUP($A20,Table4[#All],28,FALSE)</f>
        <v>0</v>
      </c>
      <c r="N20">
        <f>VLOOKUP($A20,Départ[],14,FALSE)*VLOOKUP($A20,Table4[#All],29,FALSE)</f>
        <v>0</v>
      </c>
      <c r="O20">
        <f>VLOOKUP($A20,Départ[],15,FALSE)*VLOOKUP($A20,Table4[#All],30,FALSE)</f>
        <v>0</v>
      </c>
      <c r="P20">
        <f>VLOOKUP($A20,Départ[],16,FALSE)*VLOOKUP($A20,Table4[#All],31,FALSE)</f>
        <v>0</v>
      </c>
      <c r="Q20">
        <f>VLOOKUP($A20,Départ[],17,FALSE)*VLOOKUP($A20,Table4[#All],32,FALSE)</f>
        <v>0</v>
      </c>
      <c r="R20">
        <f>VLOOKUP($A20,Départ[],18,FALSE)*VLOOKUP($A20,Table4[#All],33,FALSE)</f>
        <v>0</v>
      </c>
    </row>
    <row r="21" spans="1:18" x14ac:dyDescent="0.25">
      <c r="A21" t="str">
        <f>Départs!A22</f>
        <v>MX</v>
      </c>
      <c r="B21">
        <f>VLOOKUP(Charge[[#This Row],[Pays]],Départ[],3,FALSE)</f>
        <v>0</v>
      </c>
      <c r="C21">
        <f>VLOOKUP($A21,Départ[],3,FALSE)*VLOOKUP($A21,Table4[#All],18,FALSE)</f>
        <v>0</v>
      </c>
      <c r="D21">
        <f>VLOOKUP($A21,Départ[],4,FALSE)*VLOOKUP($A21,Table4[#All],19,FALSE)</f>
        <v>3</v>
      </c>
      <c r="E21">
        <f>VLOOKUP($A21,Départ[],5,FALSE)*VLOOKUP($A21,Table4[#All],20,FALSE)</f>
        <v>1</v>
      </c>
      <c r="F21">
        <f>VLOOKUP($A21,Départ[],6,FALSE)*VLOOKUP($A21,Table4[#All],21,FALSE)</f>
        <v>4</v>
      </c>
      <c r="G21">
        <f>VLOOKUP($A21,Départ[],7,FALSE)*VLOOKUP($A21,Table4[#All],22,FALSE)</f>
        <v>4</v>
      </c>
      <c r="H21">
        <f>VLOOKUP($A21,Départ[],8,FALSE)*VLOOKUP($A21,Table4[#All],23,FALSE)</f>
        <v>2</v>
      </c>
      <c r="I21">
        <f>VLOOKUP($A21,Départ[],9,FALSE)*VLOOKUP($A21,Table4[#All],24,FALSE)</f>
        <v>0</v>
      </c>
      <c r="J21">
        <f>VLOOKUP($A21,Départ[],10,FALSE)*VLOOKUP($A21,Table4[#All],25,FALSE)</f>
        <v>0</v>
      </c>
      <c r="K21">
        <f>VLOOKUP($A21,Départ[],11,FALSE)*VLOOKUP($A21,Table4[#All],26,FALSE)</f>
        <v>0</v>
      </c>
      <c r="L21">
        <f>VLOOKUP($A21,Départ[],12,FALSE)*VLOOKUP($A21,Table4[#All],27,FALSE)</f>
        <v>0</v>
      </c>
      <c r="M21">
        <f>VLOOKUP($A21,Départ[],13,FALSE)*VLOOKUP($A21,Table4[#All],28,FALSE)</f>
        <v>0</v>
      </c>
      <c r="N21">
        <f>VLOOKUP($A21,Départ[],14,FALSE)*VLOOKUP($A21,Table4[#All],29,FALSE)</f>
        <v>0</v>
      </c>
      <c r="O21">
        <f>VLOOKUP($A21,Départ[],15,FALSE)*VLOOKUP($A21,Table4[#All],30,FALSE)</f>
        <v>0</v>
      </c>
      <c r="P21">
        <f>VLOOKUP($A21,Départ[],16,FALSE)*VLOOKUP($A21,Table4[#All],31,FALSE)</f>
        <v>0</v>
      </c>
      <c r="Q21">
        <f>VLOOKUP($A21,Départ[],17,FALSE)*VLOOKUP($A21,Table4[#All],32,FALSE)</f>
        <v>0</v>
      </c>
      <c r="R21">
        <f>VLOOKUP($A21,Départ[],18,FALSE)*VLOOKUP($A21,Table4[#All],33,FALSE)</f>
        <v>0</v>
      </c>
    </row>
    <row r="22" spans="1:18" x14ac:dyDescent="0.25">
      <c r="A22" t="str">
        <f>Départs!A23</f>
        <v>MZ</v>
      </c>
      <c r="B22">
        <f>VLOOKUP(Charge[[#This Row],[Pays]],Départ[],3,FALSE)</f>
        <v>0</v>
      </c>
      <c r="C22">
        <f>VLOOKUP($A22,Départ[],3,FALSE)*VLOOKUP($A22,Table4[#All],18,FALSE)</f>
        <v>0</v>
      </c>
      <c r="D22">
        <f>VLOOKUP($A22,Départ[],4,FALSE)*VLOOKUP($A22,Table4[#All],19,FALSE)</f>
        <v>0</v>
      </c>
      <c r="E22">
        <f>VLOOKUP($A22,Départ[],5,FALSE)*VLOOKUP($A22,Table4[#All],20,FALSE)</f>
        <v>2.8</v>
      </c>
      <c r="F22">
        <f>VLOOKUP($A22,Départ[],6,FALSE)*VLOOKUP($A22,Table4[#All],21,FALSE)</f>
        <v>4.1999999999999993</v>
      </c>
      <c r="G22">
        <f>VLOOKUP($A22,Départ[],7,FALSE)*VLOOKUP($A22,Table4[#All],22,FALSE)</f>
        <v>4.1999999999999993</v>
      </c>
      <c r="H22">
        <f>VLOOKUP($A22,Départ[],8,FALSE)*VLOOKUP($A22,Table4[#All],23,FALSE)</f>
        <v>4.1999999999999993</v>
      </c>
      <c r="I22">
        <f>VLOOKUP($A22,Départ[],9,FALSE)*VLOOKUP($A22,Table4[#All],24,FALSE)</f>
        <v>0</v>
      </c>
      <c r="J22">
        <f>VLOOKUP($A22,Départ[],10,FALSE)*VLOOKUP($A22,Table4[#All],25,FALSE)</f>
        <v>0</v>
      </c>
      <c r="K22">
        <f>VLOOKUP($A22,Départ[],11,FALSE)*VLOOKUP($A22,Table4[#All],26,FALSE)</f>
        <v>0</v>
      </c>
      <c r="L22">
        <f>VLOOKUP($A22,Départ[],12,FALSE)*VLOOKUP($A22,Table4[#All],27,FALSE)</f>
        <v>0</v>
      </c>
      <c r="M22">
        <f>VLOOKUP($A22,Départ[],13,FALSE)*VLOOKUP($A22,Table4[#All],28,FALSE)</f>
        <v>0</v>
      </c>
      <c r="N22">
        <f>VLOOKUP($A22,Départ[],14,FALSE)*VLOOKUP($A22,Table4[#All],29,FALSE)</f>
        <v>0</v>
      </c>
      <c r="O22">
        <f>VLOOKUP($A22,Départ[],15,FALSE)*VLOOKUP($A22,Table4[#All],30,FALSE)</f>
        <v>0</v>
      </c>
      <c r="P22">
        <f>VLOOKUP($A22,Départ[],16,FALSE)*VLOOKUP($A22,Table4[#All],31,FALSE)</f>
        <v>0</v>
      </c>
      <c r="Q22">
        <f>VLOOKUP($A22,Départ[],17,FALSE)*VLOOKUP($A22,Table4[#All],32,FALSE)</f>
        <v>0</v>
      </c>
      <c r="R22">
        <f>VLOOKUP($A22,Départ[],18,FALSE)*VLOOKUP($A22,Table4[#All],33,FALSE)</f>
        <v>0</v>
      </c>
    </row>
    <row r="23" spans="1:18" x14ac:dyDescent="0.25">
      <c r="A23" t="str">
        <f>Départs!A24</f>
        <v>NE</v>
      </c>
      <c r="B23">
        <f>VLOOKUP(Charge[[#This Row],[Pays]],Départ[],3,FALSE)</f>
        <v>9</v>
      </c>
      <c r="C23">
        <f>VLOOKUP($A23,Départ[],3,FALSE)*VLOOKUP($A23,Table4[#All],18,FALSE)</f>
        <v>10.799999999999999</v>
      </c>
      <c r="D23">
        <f>VLOOKUP($A23,Départ[],4,FALSE)*VLOOKUP($A23,Table4[#All],19,FALSE)</f>
        <v>12</v>
      </c>
      <c r="E23">
        <f>VLOOKUP($A23,Départ[],5,FALSE)*VLOOKUP($A23,Table4[#All],20,FALSE)</f>
        <v>2.4</v>
      </c>
      <c r="F23">
        <f>VLOOKUP($A23,Départ[],6,FALSE)*VLOOKUP($A23,Table4[#All],21,FALSE)</f>
        <v>10.799999999999999</v>
      </c>
      <c r="G23">
        <f>VLOOKUP($A23,Départ[],7,FALSE)*VLOOKUP($A23,Table4[#All],22,FALSE)</f>
        <v>12</v>
      </c>
      <c r="H23">
        <f>VLOOKUP($A23,Départ[],8,FALSE)*VLOOKUP($A23,Table4[#All],23,FALSE)</f>
        <v>3.5999999999999996</v>
      </c>
      <c r="I23">
        <f>VLOOKUP($A23,Départ[],9,FALSE)*VLOOKUP($A23,Table4[#All],24,FALSE)</f>
        <v>0</v>
      </c>
      <c r="J23">
        <f>VLOOKUP($A23,Départ[],10,FALSE)*VLOOKUP($A23,Table4[#All],25,FALSE)</f>
        <v>0</v>
      </c>
      <c r="K23">
        <f>VLOOKUP($A23,Départ[],11,FALSE)*VLOOKUP($A23,Table4[#All],26,FALSE)</f>
        <v>0</v>
      </c>
      <c r="L23">
        <f>VLOOKUP($A23,Départ[],12,FALSE)*VLOOKUP($A23,Table4[#All],27,FALSE)</f>
        <v>0</v>
      </c>
      <c r="M23">
        <f>VLOOKUP($A23,Départ[],13,FALSE)*VLOOKUP($A23,Table4[#All],28,FALSE)</f>
        <v>0</v>
      </c>
      <c r="N23">
        <f>VLOOKUP($A23,Départ[],14,FALSE)*VLOOKUP($A23,Table4[#All],29,FALSE)</f>
        <v>0</v>
      </c>
      <c r="O23">
        <f>VLOOKUP($A23,Départ[],15,FALSE)*VLOOKUP($A23,Table4[#All],30,FALSE)</f>
        <v>0</v>
      </c>
      <c r="P23">
        <f>VLOOKUP($A23,Départ[],16,FALSE)*VLOOKUP($A23,Table4[#All],31,FALSE)</f>
        <v>0</v>
      </c>
      <c r="Q23">
        <f>VLOOKUP($A23,Départ[],17,FALSE)*VLOOKUP($A23,Table4[#All],32,FALSE)</f>
        <v>0</v>
      </c>
      <c r="R23">
        <f>VLOOKUP($A23,Départ[],18,FALSE)*VLOOKUP($A23,Table4[#All],33,FALSE)</f>
        <v>0</v>
      </c>
    </row>
    <row r="24" spans="1:18" x14ac:dyDescent="0.25">
      <c r="A24" t="str">
        <f>Départs!A25</f>
        <v>NG</v>
      </c>
      <c r="B24">
        <f>VLOOKUP(Charge[[#This Row],[Pays]],Départ[],3,FALSE)</f>
        <v>6</v>
      </c>
      <c r="C24">
        <f>VLOOKUP($A24,Départ[],3,FALSE)*VLOOKUP($A24,Table4[#All],18,FALSE)</f>
        <v>10.8</v>
      </c>
      <c r="D24">
        <f>VLOOKUP($A24,Départ[],4,FALSE)*VLOOKUP($A24,Table4[#All],19,FALSE)</f>
        <v>7.2</v>
      </c>
      <c r="E24">
        <f>VLOOKUP($A24,Départ[],5,FALSE)*VLOOKUP($A24,Table4[#All],20,FALSE)</f>
        <v>5.4</v>
      </c>
      <c r="F24">
        <f>VLOOKUP($A24,Départ[],6,FALSE)*VLOOKUP($A24,Table4[#All],21,FALSE)</f>
        <v>9</v>
      </c>
      <c r="G24">
        <f>VLOOKUP($A24,Départ[],7,FALSE)*VLOOKUP($A24,Table4[#All],22,FALSE)</f>
        <v>10.8</v>
      </c>
      <c r="H24">
        <f>VLOOKUP($A24,Départ[],8,FALSE)*VLOOKUP($A24,Table4[#All],23,FALSE)</f>
        <v>9</v>
      </c>
      <c r="I24">
        <f>VLOOKUP($A24,Départ[],9,FALSE)*VLOOKUP($A24,Table4[#All],24,FALSE)</f>
        <v>0</v>
      </c>
      <c r="J24">
        <f>VLOOKUP($A24,Départ[],10,FALSE)*VLOOKUP($A24,Table4[#All],25,FALSE)</f>
        <v>0</v>
      </c>
      <c r="K24">
        <f>VLOOKUP($A24,Départ[],11,FALSE)*VLOOKUP($A24,Table4[#All],26,FALSE)</f>
        <v>0</v>
      </c>
      <c r="L24">
        <f>VLOOKUP($A24,Départ[],12,FALSE)*VLOOKUP($A24,Table4[#All],27,FALSE)</f>
        <v>0</v>
      </c>
      <c r="M24">
        <f>VLOOKUP($A24,Départ[],13,FALSE)*VLOOKUP($A24,Table4[#All],28,FALSE)</f>
        <v>0</v>
      </c>
      <c r="N24">
        <f>VLOOKUP($A24,Départ[],14,FALSE)*VLOOKUP($A24,Table4[#All],29,FALSE)</f>
        <v>0</v>
      </c>
      <c r="O24">
        <f>VLOOKUP($A24,Départ[],15,FALSE)*VLOOKUP($A24,Table4[#All],30,FALSE)</f>
        <v>0</v>
      </c>
      <c r="P24">
        <f>VLOOKUP($A24,Départ[],16,FALSE)*VLOOKUP($A24,Table4[#All],31,FALSE)</f>
        <v>0</v>
      </c>
      <c r="Q24">
        <f>VLOOKUP($A24,Départ[],17,FALSE)*VLOOKUP($A24,Table4[#All],32,FALSE)</f>
        <v>0</v>
      </c>
      <c r="R24">
        <f>VLOOKUP($A24,Départ[],18,FALSE)*VLOOKUP($A24,Table4[#All],33,FALSE)</f>
        <v>0</v>
      </c>
    </row>
    <row r="25" spans="1:18" x14ac:dyDescent="0.25">
      <c r="A25" t="str">
        <f>Départs!A26</f>
        <v>SD</v>
      </c>
      <c r="B25">
        <f>VLOOKUP(Charge[[#This Row],[Pays]],Départ[],3,FALSE)</f>
        <v>13</v>
      </c>
      <c r="C25">
        <f>VLOOKUP($A25,Départ[],3,FALSE)*VLOOKUP($A25,Table4[#All],18,FALSE)</f>
        <v>15.6</v>
      </c>
      <c r="D25">
        <f>VLOOKUP($A25,Départ[],4,FALSE)*VLOOKUP($A25,Table4[#All],19,FALSE)</f>
        <v>10.799999999999999</v>
      </c>
      <c r="E25">
        <f>VLOOKUP($A25,Départ[],5,FALSE)*VLOOKUP($A25,Table4[#All],20,FALSE)</f>
        <v>15.6</v>
      </c>
      <c r="F25">
        <f>VLOOKUP($A25,Départ[],6,FALSE)*VLOOKUP($A25,Table4[#All],21,FALSE)</f>
        <v>19.2</v>
      </c>
      <c r="G25">
        <f>VLOOKUP($A25,Départ[],7,FALSE)*VLOOKUP($A25,Table4[#All],22,FALSE)</f>
        <v>6</v>
      </c>
      <c r="H25">
        <f>VLOOKUP($A25,Départ[],8,FALSE)*VLOOKUP($A25,Table4[#All],23,FALSE)</f>
        <v>7.1999999999999993</v>
      </c>
      <c r="I25">
        <f>VLOOKUP($A25,Départ[],9,FALSE)*VLOOKUP($A25,Table4[#All],24,FALSE)</f>
        <v>0</v>
      </c>
      <c r="J25">
        <f>VLOOKUP($A25,Départ[],10,FALSE)*VLOOKUP($A25,Table4[#All],25,FALSE)</f>
        <v>0</v>
      </c>
      <c r="K25">
        <f>VLOOKUP($A25,Départ[],11,FALSE)*VLOOKUP($A25,Table4[#All],26,FALSE)</f>
        <v>0</v>
      </c>
      <c r="L25">
        <f>VLOOKUP($A25,Départ[],12,FALSE)*VLOOKUP($A25,Table4[#All],27,FALSE)</f>
        <v>0</v>
      </c>
      <c r="M25">
        <f>VLOOKUP($A25,Départ[],13,FALSE)*VLOOKUP($A25,Table4[#All],28,FALSE)</f>
        <v>0</v>
      </c>
      <c r="N25">
        <f>VLOOKUP($A25,Départ[],14,FALSE)*VLOOKUP($A25,Table4[#All],29,FALSE)</f>
        <v>0</v>
      </c>
      <c r="O25">
        <f>VLOOKUP($A25,Départ[],15,FALSE)*VLOOKUP($A25,Table4[#All],30,FALSE)</f>
        <v>0</v>
      </c>
      <c r="P25">
        <f>VLOOKUP($A25,Départ[],16,FALSE)*VLOOKUP($A25,Table4[#All],31,FALSE)</f>
        <v>0</v>
      </c>
      <c r="Q25">
        <f>VLOOKUP($A25,Départ[],17,FALSE)*VLOOKUP($A25,Table4[#All],32,FALSE)</f>
        <v>0</v>
      </c>
      <c r="R25">
        <f>VLOOKUP($A25,Départ[],18,FALSE)*VLOOKUP($A25,Table4[#All],33,FALSE)</f>
        <v>0</v>
      </c>
    </row>
    <row r="26" spans="1:18" x14ac:dyDescent="0.25">
      <c r="A26" t="str">
        <f>Départs!A27</f>
        <v>SN</v>
      </c>
      <c r="B26">
        <f>VLOOKUP(Charge[[#This Row],[Pays]],Départ[],3,FALSE)</f>
        <v>2</v>
      </c>
      <c r="C26">
        <f>VLOOKUP($A26,Départ[],3,FALSE)*VLOOKUP($A26,Table4[#All],18,FALSE)</f>
        <v>2</v>
      </c>
      <c r="D26">
        <f>VLOOKUP($A26,Départ[],4,FALSE)*VLOOKUP($A26,Table4[#All],19,FALSE)</f>
        <v>2</v>
      </c>
      <c r="E26">
        <f>VLOOKUP($A26,Départ[],5,FALSE)*VLOOKUP($A26,Table4[#All],20,FALSE)</f>
        <v>0</v>
      </c>
      <c r="F26">
        <f>VLOOKUP($A26,Départ[],6,FALSE)*VLOOKUP($A26,Table4[#All],21,FALSE)</f>
        <v>1</v>
      </c>
      <c r="G26">
        <f>VLOOKUP($A26,Départ[],7,FALSE)*VLOOKUP($A26,Table4[#All],22,FALSE)</f>
        <v>0</v>
      </c>
      <c r="H26">
        <f>VLOOKUP($A26,Départ[],8,FALSE)*VLOOKUP($A26,Table4[#All],23,FALSE)</f>
        <v>0</v>
      </c>
      <c r="I26">
        <f>VLOOKUP($A26,Départ[],9,FALSE)*VLOOKUP($A26,Table4[#All],24,FALSE)</f>
        <v>0</v>
      </c>
      <c r="J26">
        <f>VLOOKUP($A26,Départ[],10,FALSE)*VLOOKUP($A26,Table4[#All],25,FALSE)</f>
        <v>0</v>
      </c>
      <c r="K26">
        <f>VLOOKUP($A26,Départ[],11,FALSE)*VLOOKUP($A26,Table4[#All],26,FALSE)</f>
        <v>0</v>
      </c>
      <c r="L26">
        <f>VLOOKUP($A26,Départ[],12,FALSE)*VLOOKUP($A26,Table4[#All],27,FALSE)</f>
        <v>0</v>
      </c>
      <c r="M26">
        <f>VLOOKUP($A26,Départ[],13,FALSE)*VLOOKUP($A26,Table4[#All],28,FALSE)</f>
        <v>0</v>
      </c>
      <c r="N26">
        <f>VLOOKUP($A26,Départ[],14,FALSE)*VLOOKUP($A26,Table4[#All],29,FALSE)</f>
        <v>0</v>
      </c>
      <c r="O26">
        <f>VLOOKUP($A26,Départ[],15,FALSE)*VLOOKUP($A26,Table4[#All],30,FALSE)</f>
        <v>0</v>
      </c>
      <c r="P26">
        <f>VLOOKUP($A26,Départ[],16,FALSE)*VLOOKUP($A26,Table4[#All],31,FALSE)</f>
        <v>0</v>
      </c>
      <c r="Q26">
        <f>VLOOKUP($A26,Départ[],17,FALSE)*VLOOKUP($A26,Table4[#All],32,FALSE)</f>
        <v>0</v>
      </c>
      <c r="R26">
        <f>VLOOKUP($A26,Départ[],18,FALSE)*VLOOKUP($A26,Table4[#All],33,FALSE)</f>
        <v>0</v>
      </c>
    </row>
    <row r="27" spans="1:18" x14ac:dyDescent="0.25">
      <c r="A27" t="str">
        <f>Départs!A28</f>
        <v>SO</v>
      </c>
      <c r="B27">
        <f>VLOOKUP(Charge[[#This Row],[Pays]],Départ[],3,FALSE)</f>
        <v>1</v>
      </c>
      <c r="C27">
        <f>VLOOKUP($A27,Départ[],3,FALSE)*VLOOKUP($A27,Table4[#All],18,FALSE)</f>
        <v>1</v>
      </c>
      <c r="D27">
        <f>VLOOKUP($A27,Départ[],4,FALSE)*VLOOKUP($A27,Table4[#All],19,FALSE)</f>
        <v>0</v>
      </c>
      <c r="E27">
        <f>VLOOKUP($A27,Départ[],5,FALSE)*VLOOKUP($A27,Table4[#All],20,FALSE)</f>
        <v>0</v>
      </c>
      <c r="F27">
        <f>VLOOKUP($A27,Départ[],6,FALSE)*VLOOKUP($A27,Table4[#All],21,FALSE)</f>
        <v>0</v>
      </c>
      <c r="G27">
        <f>VLOOKUP($A27,Départ[],7,FALSE)*VLOOKUP($A27,Table4[#All],22,FALSE)</f>
        <v>0</v>
      </c>
      <c r="H27">
        <f>VLOOKUP($A27,Départ[],8,FALSE)*VLOOKUP($A27,Table4[#All],23,FALSE)</f>
        <v>0</v>
      </c>
      <c r="I27">
        <f>VLOOKUP($A27,Départ[],9,FALSE)*VLOOKUP($A27,Table4[#All],24,FALSE)</f>
        <v>0</v>
      </c>
      <c r="J27">
        <f>VLOOKUP($A27,Départ[],10,FALSE)*VLOOKUP($A27,Table4[#All],25,FALSE)</f>
        <v>0</v>
      </c>
      <c r="K27">
        <f>VLOOKUP($A27,Départ[],11,FALSE)*VLOOKUP($A27,Table4[#All],26,FALSE)</f>
        <v>0</v>
      </c>
      <c r="L27">
        <f>VLOOKUP($A27,Départ[],12,FALSE)*VLOOKUP($A27,Table4[#All],27,FALSE)</f>
        <v>0</v>
      </c>
      <c r="M27">
        <f>VLOOKUP($A27,Départ[],13,FALSE)*VLOOKUP($A27,Table4[#All],28,FALSE)</f>
        <v>0</v>
      </c>
      <c r="N27">
        <f>VLOOKUP($A27,Départ[],14,FALSE)*VLOOKUP($A27,Table4[#All],29,FALSE)</f>
        <v>0</v>
      </c>
      <c r="O27">
        <f>VLOOKUP($A27,Départ[],15,FALSE)*VLOOKUP($A27,Table4[#All],30,FALSE)</f>
        <v>0</v>
      </c>
      <c r="P27">
        <f>VLOOKUP($A27,Départ[],16,FALSE)*VLOOKUP($A27,Table4[#All],31,FALSE)</f>
        <v>0</v>
      </c>
      <c r="Q27">
        <f>VLOOKUP($A27,Départ[],17,FALSE)*VLOOKUP($A27,Table4[#All],32,FALSE)</f>
        <v>0</v>
      </c>
      <c r="R27">
        <f>VLOOKUP($A27,Départ[],18,FALSE)*VLOOKUP($A27,Table4[#All],33,FALSE)</f>
        <v>0</v>
      </c>
    </row>
    <row r="28" spans="1:18" x14ac:dyDescent="0.25">
      <c r="A28" t="str">
        <f>Départs!A29</f>
        <v>SS</v>
      </c>
      <c r="B28">
        <f>VLOOKUP(Charge[[#This Row],[Pays]],Départ[],3,FALSE)</f>
        <v>17</v>
      </c>
      <c r="C28">
        <f>VLOOKUP($A28,Départ[],3,FALSE)*VLOOKUP($A28,Table4[#All],18,FALSE)</f>
        <v>30.6</v>
      </c>
      <c r="D28">
        <f>VLOOKUP($A28,Départ[],4,FALSE)*VLOOKUP($A28,Table4[#All],19,FALSE)</f>
        <v>41.4</v>
      </c>
      <c r="E28">
        <f>VLOOKUP($A28,Départ[],5,FALSE)*VLOOKUP($A28,Table4[#All],20,FALSE)</f>
        <v>39.6</v>
      </c>
      <c r="F28">
        <f>VLOOKUP($A28,Départ[],6,FALSE)*VLOOKUP($A28,Table4[#All],21,FALSE)</f>
        <v>37.800000000000004</v>
      </c>
      <c r="G28">
        <f>VLOOKUP($A28,Départ[],7,FALSE)*VLOOKUP($A28,Table4[#All],22,FALSE)</f>
        <v>36</v>
      </c>
      <c r="H28">
        <f>VLOOKUP($A28,Départ[],8,FALSE)*VLOOKUP($A28,Table4[#All],23,FALSE)</f>
        <v>5.4</v>
      </c>
      <c r="I28">
        <f>VLOOKUP($A28,Départ[],9,FALSE)*VLOOKUP($A28,Table4[#All],24,FALSE)</f>
        <v>0</v>
      </c>
      <c r="J28">
        <f>VLOOKUP($A28,Départ[],10,FALSE)*VLOOKUP($A28,Table4[#All],25,FALSE)</f>
        <v>0</v>
      </c>
      <c r="K28">
        <f>VLOOKUP($A28,Départ[],11,FALSE)*VLOOKUP($A28,Table4[#All],26,FALSE)</f>
        <v>0</v>
      </c>
      <c r="L28">
        <f>VLOOKUP($A28,Départ[],12,FALSE)*VLOOKUP($A28,Table4[#All],27,FALSE)</f>
        <v>0</v>
      </c>
      <c r="M28">
        <f>VLOOKUP($A28,Départ[],13,FALSE)*VLOOKUP($A28,Table4[#All],28,FALSE)</f>
        <v>0</v>
      </c>
      <c r="N28">
        <f>VLOOKUP($A28,Départ[],14,FALSE)*VLOOKUP($A28,Table4[#All],29,FALSE)</f>
        <v>0</v>
      </c>
      <c r="O28">
        <f>VLOOKUP($A28,Départ[],15,FALSE)*VLOOKUP($A28,Table4[#All],30,FALSE)</f>
        <v>0</v>
      </c>
      <c r="P28">
        <f>VLOOKUP($A28,Départ[],16,FALSE)*VLOOKUP($A28,Table4[#All],31,FALSE)</f>
        <v>0</v>
      </c>
      <c r="Q28">
        <f>VLOOKUP($A28,Départ[],17,FALSE)*VLOOKUP($A28,Table4[#All],32,FALSE)</f>
        <v>0</v>
      </c>
      <c r="R28">
        <f>VLOOKUP($A28,Départ[],18,FALSE)*VLOOKUP($A28,Table4[#All],33,FALSE)</f>
        <v>0</v>
      </c>
    </row>
    <row r="29" spans="1:18" x14ac:dyDescent="0.25">
      <c r="A29" t="str">
        <f>Départs!A30</f>
        <v>SZ</v>
      </c>
      <c r="B29">
        <f>VLOOKUP(Charge[[#This Row],[Pays]],Départ[],3,FALSE)</f>
        <v>0</v>
      </c>
      <c r="C29">
        <f>VLOOKUP($A29,Départ[],3,FALSE)*VLOOKUP($A29,Table4[#All],18,FALSE)</f>
        <v>0</v>
      </c>
      <c r="D29">
        <f>VLOOKUP($A29,Départ[],4,FALSE)*VLOOKUP($A29,Table4[#All],19,FALSE)</f>
        <v>0</v>
      </c>
      <c r="E29">
        <f>VLOOKUP($A29,Départ[],5,FALSE)*VLOOKUP($A29,Table4[#All],20,FALSE)</f>
        <v>0</v>
      </c>
      <c r="F29">
        <f>VLOOKUP($A29,Départ[],6,FALSE)*VLOOKUP($A29,Table4[#All],21,FALSE)</f>
        <v>0</v>
      </c>
      <c r="G29">
        <f>VLOOKUP($A29,Départ[],7,FALSE)*VLOOKUP($A29,Table4[#All],22,FALSE)</f>
        <v>2</v>
      </c>
      <c r="H29">
        <f>VLOOKUP($A29,Départ[],8,FALSE)*VLOOKUP($A29,Table4[#All],23,FALSE)</f>
        <v>0</v>
      </c>
      <c r="I29">
        <f>VLOOKUP($A29,Départ[],9,FALSE)*VLOOKUP($A29,Table4[#All],24,FALSE)</f>
        <v>0</v>
      </c>
      <c r="J29">
        <f>VLOOKUP($A29,Départ[],10,FALSE)*VLOOKUP($A29,Table4[#All],25,FALSE)</f>
        <v>0</v>
      </c>
      <c r="K29">
        <f>VLOOKUP($A29,Départ[],11,FALSE)*VLOOKUP($A29,Table4[#All],26,FALSE)</f>
        <v>0</v>
      </c>
      <c r="L29">
        <f>VLOOKUP($A29,Départ[],12,FALSE)*VLOOKUP($A29,Table4[#All],27,FALSE)</f>
        <v>0</v>
      </c>
      <c r="M29">
        <f>VLOOKUP($A29,Départ[],13,FALSE)*VLOOKUP($A29,Table4[#All],28,FALSE)</f>
        <v>0</v>
      </c>
      <c r="N29">
        <f>VLOOKUP($A29,Départ[],14,FALSE)*VLOOKUP($A29,Table4[#All],29,FALSE)</f>
        <v>0</v>
      </c>
      <c r="O29">
        <f>VLOOKUP($A29,Départ[],15,FALSE)*VLOOKUP($A29,Table4[#All],30,FALSE)</f>
        <v>0</v>
      </c>
      <c r="P29">
        <f>VLOOKUP($A29,Départ[],16,FALSE)*VLOOKUP($A29,Table4[#All],31,FALSE)</f>
        <v>0</v>
      </c>
      <c r="Q29">
        <f>VLOOKUP($A29,Départ[],17,FALSE)*VLOOKUP($A29,Table4[#All],32,FALSE)</f>
        <v>0</v>
      </c>
      <c r="R29">
        <f>VLOOKUP($A29,Départ[],18,FALSE)*VLOOKUP($A29,Table4[#All],33,FALSE)</f>
        <v>0</v>
      </c>
    </row>
    <row r="30" spans="1:18" x14ac:dyDescent="0.25">
      <c r="A30" t="str">
        <f>Départs!A31</f>
        <v>TD</v>
      </c>
      <c r="B30">
        <f>VLOOKUP(Charge[[#This Row],[Pays]],Départ[],3,FALSE)</f>
        <v>4</v>
      </c>
      <c r="C30">
        <f>VLOOKUP($A30,Départ[],3,FALSE)*VLOOKUP($A30,Table4[#All],18,FALSE)</f>
        <v>6.4</v>
      </c>
      <c r="D30">
        <f>VLOOKUP($A30,Départ[],4,FALSE)*VLOOKUP($A30,Table4[#All],19,FALSE)</f>
        <v>4.8000000000000007</v>
      </c>
      <c r="E30">
        <f>VLOOKUP($A30,Départ[],5,FALSE)*VLOOKUP($A30,Table4[#All],20,FALSE)</f>
        <v>3.2</v>
      </c>
      <c r="F30">
        <f>VLOOKUP($A30,Départ[],6,FALSE)*VLOOKUP($A30,Table4[#All],21,FALSE)</f>
        <v>6.4</v>
      </c>
      <c r="G30">
        <f>VLOOKUP($A30,Départ[],7,FALSE)*VLOOKUP($A30,Table4[#All],22,FALSE)</f>
        <v>8</v>
      </c>
      <c r="H30">
        <f>VLOOKUP($A30,Départ[],8,FALSE)*VLOOKUP($A30,Table4[#All],23,FALSE)</f>
        <v>4.8000000000000007</v>
      </c>
      <c r="I30">
        <f>VLOOKUP($A30,Départ[],9,FALSE)*VLOOKUP($A30,Table4[#All],24,FALSE)</f>
        <v>0</v>
      </c>
      <c r="J30">
        <f>VLOOKUP($A30,Départ[],10,FALSE)*VLOOKUP($A30,Table4[#All],25,FALSE)</f>
        <v>0</v>
      </c>
      <c r="K30">
        <f>VLOOKUP($A30,Départ[],11,FALSE)*VLOOKUP($A30,Table4[#All],26,FALSE)</f>
        <v>0</v>
      </c>
      <c r="L30">
        <f>VLOOKUP($A30,Départ[],12,FALSE)*VLOOKUP($A30,Table4[#All],27,FALSE)</f>
        <v>0</v>
      </c>
      <c r="M30">
        <f>VLOOKUP($A30,Départ[],13,FALSE)*VLOOKUP($A30,Table4[#All],28,FALSE)</f>
        <v>0</v>
      </c>
      <c r="N30">
        <f>VLOOKUP($A30,Départ[],14,FALSE)*VLOOKUP($A30,Table4[#All],29,FALSE)</f>
        <v>0</v>
      </c>
      <c r="O30">
        <f>VLOOKUP($A30,Départ[],15,FALSE)*VLOOKUP($A30,Table4[#All],30,FALSE)</f>
        <v>0</v>
      </c>
      <c r="P30">
        <f>VLOOKUP($A30,Départ[],16,FALSE)*VLOOKUP($A30,Table4[#All],31,FALSE)</f>
        <v>0</v>
      </c>
      <c r="Q30">
        <f>VLOOKUP($A30,Départ[],17,FALSE)*VLOOKUP($A30,Table4[#All],32,FALSE)</f>
        <v>0</v>
      </c>
      <c r="R30">
        <f>VLOOKUP($A30,Départ[],18,FALSE)*VLOOKUP($A30,Table4[#All],33,FALSE)</f>
        <v>0</v>
      </c>
    </row>
    <row r="31" spans="1:18" x14ac:dyDescent="0.25">
      <c r="A31" t="str">
        <f>Départs!A32</f>
        <v>TZ</v>
      </c>
      <c r="B31">
        <f>VLOOKUP(Charge[[#This Row],[Pays]],Départ[],3,FALSE)</f>
        <v>0</v>
      </c>
      <c r="C31">
        <f>VLOOKUP($A31,Départ[],3,FALSE)*VLOOKUP($A31,Table4[#All],18,FALSE)</f>
        <v>0</v>
      </c>
      <c r="D31">
        <f>VLOOKUP($A31,Départ[],4,FALSE)*VLOOKUP($A31,Table4[#All],19,FALSE)</f>
        <v>1.2</v>
      </c>
      <c r="E31">
        <f>VLOOKUP($A31,Départ[],5,FALSE)*VLOOKUP($A31,Table4[#All],20,FALSE)</f>
        <v>2.4</v>
      </c>
      <c r="F31">
        <f>VLOOKUP($A31,Départ[],6,FALSE)*VLOOKUP($A31,Table4[#All],21,FALSE)</f>
        <v>7.1999999999999993</v>
      </c>
      <c r="G31">
        <f>VLOOKUP($A31,Départ[],7,FALSE)*VLOOKUP($A31,Table4[#All],22,FALSE)</f>
        <v>6</v>
      </c>
      <c r="H31">
        <f>VLOOKUP($A31,Départ[],8,FALSE)*VLOOKUP($A31,Table4[#All],23,FALSE)</f>
        <v>2.4</v>
      </c>
      <c r="I31">
        <f>VLOOKUP($A31,Départ[],9,FALSE)*VLOOKUP($A31,Table4[#All],24,FALSE)</f>
        <v>0</v>
      </c>
      <c r="J31">
        <f>VLOOKUP($A31,Départ[],10,FALSE)*VLOOKUP($A31,Table4[#All],25,FALSE)</f>
        <v>0</v>
      </c>
      <c r="K31">
        <f>VLOOKUP($A31,Départ[],11,FALSE)*VLOOKUP($A31,Table4[#All],26,FALSE)</f>
        <v>0</v>
      </c>
      <c r="L31">
        <f>VLOOKUP($A31,Départ[],12,FALSE)*VLOOKUP($A31,Table4[#All],27,FALSE)</f>
        <v>0</v>
      </c>
      <c r="M31">
        <f>VLOOKUP($A31,Départ[],13,FALSE)*VLOOKUP($A31,Table4[#All],28,FALSE)</f>
        <v>0</v>
      </c>
      <c r="N31">
        <f>VLOOKUP($A31,Départ[],14,FALSE)*VLOOKUP($A31,Table4[#All],29,FALSE)</f>
        <v>0</v>
      </c>
      <c r="O31">
        <f>VLOOKUP($A31,Départ[],15,FALSE)*VLOOKUP($A31,Table4[#All],30,FALSE)</f>
        <v>0</v>
      </c>
      <c r="P31">
        <f>VLOOKUP($A31,Départ[],16,FALSE)*VLOOKUP($A31,Table4[#All],31,FALSE)</f>
        <v>0</v>
      </c>
      <c r="Q31">
        <f>VLOOKUP($A31,Départ[],17,FALSE)*VLOOKUP($A31,Table4[#All],32,FALSE)</f>
        <v>0</v>
      </c>
      <c r="R31">
        <f>VLOOKUP($A31,Départ[],18,FALSE)*VLOOKUP($A31,Table4[#All],33,FALSE)</f>
        <v>0</v>
      </c>
    </row>
    <row r="32" spans="1:18" x14ac:dyDescent="0.25">
      <c r="A32" t="str">
        <f>Départs!A33</f>
        <v>UA</v>
      </c>
      <c r="B32">
        <f>VLOOKUP(Charge[[#This Row],[Pays]],Départ[],3,FALSE)</f>
        <v>1</v>
      </c>
      <c r="C32">
        <f>VLOOKUP($A32,Départ[],3,FALSE)*VLOOKUP($A32,Table4[#All],18,FALSE)</f>
        <v>1</v>
      </c>
      <c r="D32">
        <f>VLOOKUP($A32,Départ[],4,FALSE)*VLOOKUP($A32,Table4[#All],19,FALSE)</f>
        <v>1</v>
      </c>
      <c r="E32">
        <f>VLOOKUP($A32,Départ[],5,FALSE)*VLOOKUP($A32,Table4[#All],20,FALSE)</f>
        <v>0</v>
      </c>
      <c r="F32">
        <f>VLOOKUP($A32,Départ[],6,FALSE)*VLOOKUP($A32,Table4[#All],21,FALSE)</f>
        <v>1</v>
      </c>
      <c r="G32">
        <f>VLOOKUP($A32,Départ[],7,FALSE)*VLOOKUP($A32,Table4[#All],22,FALSE)</f>
        <v>4</v>
      </c>
      <c r="H32">
        <f>VLOOKUP($A32,Départ[],8,FALSE)*VLOOKUP($A32,Table4[#All],23,FALSE)</f>
        <v>1</v>
      </c>
      <c r="I32">
        <f>VLOOKUP($A32,Départ[],9,FALSE)*VLOOKUP($A32,Table4[#All],24,FALSE)</f>
        <v>0</v>
      </c>
      <c r="J32">
        <f>VLOOKUP($A32,Départ[],10,FALSE)*VLOOKUP($A32,Table4[#All],25,FALSE)</f>
        <v>0</v>
      </c>
      <c r="K32">
        <f>VLOOKUP($A32,Départ[],11,FALSE)*VLOOKUP($A32,Table4[#All],26,FALSE)</f>
        <v>0</v>
      </c>
      <c r="L32">
        <f>VLOOKUP($A32,Départ[],12,FALSE)*VLOOKUP($A32,Table4[#All],27,FALSE)</f>
        <v>0</v>
      </c>
      <c r="M32">
        <f>VLOOKUP($A32,Départ[],13,FALSE)*VLOOKUP($A32,Table4[#All],28,FALSE)</f>
        <v>0</v>
      </c>
      <c r="N32">
        <f>VLOOKUP($A32,Départ[],14,FALSE)*VLOOKUP($A32,Table4[#All],29,FALSE)</f>
        <v>0</v>
      </c>
      <c r="O32">
        <f>VLOOKUP($A32,Départ[],15,FALSE)*VLOOKUP($A32,Table4[#All],30,FALSE)</f>
        <v>0</v>
      </c>
      <c r="P32">
        <f>VLOOKUP($A32,Départ[],16,FALSE)*VLOOKUP($A32,Table4[#All],31,FALSE)</f>
        <v>0</v>
      </c>
      <c r="Q32">
        <f>VLOOKUP($A32,Départ[],17,FALSE)*VLOOKUP($A32,Table4[#All],32,FALSE)</f>
        <v>0</v>
      </c>
      <c r="R32">
        <f>VLOOKUP($A32,Départ[],18,FALSE)*VLOOKUP($A32,Table4[#All],33,FALSE)</f>
        <v>0</v>
      </c>
    </row>
    <row r="33" spans="1:18" x14ac:dyDescent="0.25">
      <c r="A33" t="str">
        <f>Départs!A34</f>
        <v>UG</v>
      </c>
      <c r="B33">
        <f>VLOOKUP(Charge[[#This Row],[Pays]],Départ[],3,FALSE)</f>
        <v>0</v>
      </c>
      <c r="C33">
        <f>VLOOKUP($A33,Départ[],3,FALSE)*VLOOKUP($A33,Table4[#All],18,FALSE)</f>
        <v>0</v>
      </c>
      <c r="D33">
        <f>VLOOKUP($A33,Départ[],4,FALSE)*VLOOKUP($A33,Table4[#All],19,FALSE)</f>
        <v>0</v>
      </c>
      <c r="E33">
        <f>VLOOKUP($A33,Départ[],5,FALSE)*VLOOKUP($A33,Table4[#All],20,FALSE)</f>
        <v>1</v>
      </c>
      <c r="F33">
        <f>VLOOKUP($A33,Départ[],6,FALSE)*VLOOKUP($A33,Table4[#All],21,FALSE)</f>
        <v>0</v>
      </c>
      <c r="G33">
        <f>VLOOKUP($A33,Départ[],7,FALSE)*VLOOKUP($A33,Table4[#All],22,FALSE)</f>
        <v>0</v>
      </c>
      <c r="H33">
        <f>VLOOKUP($A33,Départ[],8,FALSE)*VLOOKUP($A33,Table4[#All],23,FALSE)</f>
        <v>0</v>
      </c>
      <c r="I33">
        <f>VLOOKUP($A33,Départ[],9,FALSE)*VLOOKUP($A33,Table4[#All],24,FALSE)</f>
        <v>0</v>
      </c>
      <c r="J33">
        <f>VLOOKUP($A33,Départ[],10,FALSE)*VLOOKUP($A33,Table4[#All],25,FALSE)</f>
        <v>0</v>
      </c>
      <c r="K33">
        <f>VLOOKUP($A33,Départ[],11,FALSE)*VLOOKUP($A33,Table4[#All],26,FALSE)</f>
        <v>0</v>
      </c>
      <c r="L33">
        <f>VLOOKUP($A33,Départ[],12,FALSE)*VLOOKUP($A33,Table4[#All],27,FALSE)</f>
        <v>0</v>
      </c>
      <c r="M33">
        <f>VLOOKUP($A33,Départ[],13,FALSE)*VLOOKUP($A33,Table4[#All],28,FALSE)</f>
        <v>0</v>
      </c>
      <c r="N33">
        <f>VLOOKUP($A33,Départ[],14,FALSE)*VLOOKUP($A33,Table4[#All],29,FALSE)</f>
        <v>0</v>
      </c>
      <c r="O33">
        <f>VLOOKUP($A33,Départ[],15,FALSE)*VLOOKUP($A33,Table4[#All],30,FALSE)</f>
        <v>0</v>
      </c>
      <c r="P33">
        <f>VLOOKUP($A33,Départ[],16,FALSE)*VLOOKUP($A33,Table4[#All],31,FALSE)</f>
        <v>0</v>
      </c>
      <c r="Q33">
        <f>VLOOKUP($A33,Départ[],17,FALSE)*VLOOKUP($A33,Table4[#All],32,FALSE)</f>
        <v>0</v>
      </c>
      <c r="R33">
        <f>VLOOKUP($A33,Départ[],18,FALSE)*VLOOKUP($A33,Table4[#All],33,FALSE)</f>
        <v>0</v>
      </c>
    </row>
    <row r="34" spans="1:18" x14ac:dyDescent="0.25">
      <c r="A34" t="str">
        <f>Départs!A35</f>
        <v>YE</v>
      </c>
      <c r="B34">
        <f>VLOOKUP(Charge[[#This Row],[Pays]],Départ[],3,FALSE)</f>
        <v>10</v>
      </c>
      <c r="C34">
        <f>VLOOKUP($A34,Départ[],3,FALSE)*VLOOKUP($A34,Table4[#All],18,FALSE)</f>
        <v>22</v>
      </c>
      <c r="D34">
        <f>VLOOKUP($A34,Départ[],4,FALSE)*VLOOKUP($A34,Table4[#All],19,FALSE)</f>
        <v>17.600000000000001</v>
      </c>
      <c r="E34">
        <f>VLOOKUP($A34,Départ[],5,FALSE)*VLOOKUP($A34,Table4[#All],20,FALSE)</f>
        <v>8.8000000000000007</v>
      </c>
      <c r="F34">
        <f>VLOOKUP($A34,Départ[],6,FALSE)*VLOOKUP($A34,Table4[#All],21,FALSE)</f>
        <v>15.400000000000002</v>
      </c>
      <c r="G34">
        <f>VLOOKUP($A34,Départ[],7,FALSE)*VLOOKUP($A34,Table4[#All],22,FALSE)</f>
        <v>11</v>
      </c>
      <c r="H34">
        <f>VLOOKUP($A34,Départ[],8,FALSE)*VLOOKUP($A34,Table4[#All],23,FALSE)</f>
        <v>6.6000000000000005</v>
      </c>
      <c r="I34">
        <f>VLOOKUP($A34,Départ[],9,FALSE)*VLOOKUP($A34,Table4[#All],24,FALSE)</f>
        <v>0</v>
      </c>
      <c r="J34">
        <f>VLOOKUP($A34,Départ[],10,FALSE)*VLOOKUP($A34,Table4[#All],25,FALSE)</f>
        <v>0</v>
      </c>
      <c r="K34">
        <f>VLOOKUP($A34,Départ[],11,FALSE)*VLOOKUP($A34,Table4[#All],26,FALSE)</f>
        <v>0</v>
      </c>
      <c r="L34">
        <f>VLOOKUP($A34,Départ[],12,FALSE)*VLOOKUP($A34,Table4[#All],27,FALSE)</f>
        <v>0</v>
      </c>
      <c r="M34">
        <f>VLOOKUP($A34,Départ[],13,FALSE)*VLOOKUP($A34,Table4[#All],28,FALSE)</f>
        <v>0</v>
      </c>
      <c r="N34">
        <f>VLOOKUP($A34,Départ[],14,FALSE)*VLOOKUP($A34,Table4[#All],29,FALSE)</f>
        <v>0</v>
      </c>
      <c r="O34">
        <f>VLOOKUP($A34,Départ[],15,FALSE)*VLOOKUP($A34,Table4[#All],30,FALSE)</f>
        <v>0</v>
      </c>
      <c r="P34">
        <f>VLOOKUP($A34,Départ[],16,FALSE)*VLOOKUP($A34,Table4[#All],31,FALSE)</f>
        <v>0</v>
      </c>
      <c r="Q34">
        <f>VLOOKUP($A34,Départ[],17,FALSE)*VLOOKUP($A34,Table4[#All],32,FALSE)</f>
        <v>0</v>
      </c>
      <c r="R34">
        <f>VLOOKUP($A34,Départ[],18,FALSE)*VLOOKUP($A34,Table4[#All],33,FALSE)</f>
        <v>0</v>
      </c>
    </row>
    <row r="35" spans="1:18" ht="15.75" thickBot="1" x14ac:dyDescent="0.3"/>
    <row r="36" spans="1:18" ht="15.75" thickBot="1" x14ac:dyDescent="0.3">
      <c r="A36" s="16" t="s">
        <v>60</v>
      </c>
      <c r="B36" s="17"/>
      <c r="C36" s="17">
        <f t="shared" ref="C36:E36" si="0">SUM(C5:C34)</f>
        <v>160.79999999999998</v>
      </c>
      <c r="D36" s="17">
        <f t="shared" si="0"/>
        <v>172.39999999999998</v>
      </c>
      <c r="E36" s="17">
        <f t="shared" si="0"/>
        <v>141.4</v>
      </c>
      <c r="F36" s="17">
        <f>SUM(F5:F34)</f>
        <v>189.20000000000002</v>
      </c>
      <c r="G36" s="17">
        <f t="shared" ref="G36:R36" si="1">SUM(G5:G34)</f>
        <v>207.20000000000002</v>
      </c>
      <c r="H36" s="17">
        <f t="shared" si="1"/>
        <v>89</v>
      </c>
      <c r="I36" s="17">
        <f t="shared" si="1"/>
        <v>0</v>
      </c>
      <c r="J36" s="17">
        <f t="shared" si="1"/>
        <v>0</v>
      </c>
      <c r="K36" s="17">
        <f t="shared" si="1"/>
        <v>0</v>
      </c>
      <c r="L36" s="17">
        <f t="shared" si="1"/>
        <v>0</v>
      </c>
      <c r="M36" s="17">
        <f t="shared" si="1"/>
        <v>0</v>
      </c>
      <c r="N36" s="17">
        <f t="shared" si="1"/>
        <v>0</v>
      </c>
      <c r="O36" s="17">
        <f t="shared" si="1"/>
        <v>0</v>
      </c>
      <c r="P36" s="17">
        <f t="shared" si="1"/>
        <v>0</v>
      </c>
      <c r="Q36" s="17">
        <f t="shared" si="1"/>
        <v>0</v>
      </c>
      <c r="R36" s="18">
        <f t="shared" si="1"/>
        <v>0</v>
      </c>
    </row>
    <row r="38" spans="1:18" x14ac:dyDescent="0.25">
      <c r="B38" s="19" t="s">
        <v>77</v>
      </c>
      <c r="C38" s="19">
        <f t="shared" ref="C38:R38" si="2">SUMIF($B$5:$B$34,$B38,C$5:C$34)</f>
        <v>0</v>
      </c>
      <c r="D38" s="19">
        <f t="shared" si="2"/>
        <v>0</v>
      </c>
      <c r="E38" s="19">
        <f t="shared" si="2"/>
        <v>0</v>
      </c>
      <c r="F38" s="19">
        <f t="shared" si="2"/>
        <v>0</v>
      </c>
      <c r="G38" s="19">
        <f t="shared" si="2"/>
        <v>0</v>
      </c>
      <c r="H38" s="19">
        <f t="shared" si="2"/>
        <v>0</v>
      </c>
      <c r="I38" s="19">
        <f t="shared" si="2"/>
        <v>0</v>
      </c>
      <c r="J38" s="19">
        <f t="shared" si="2"/>
        <v>0</v>
      </c>
      <c r="K38" s="19">
        <f t="shared" si="2"/>
        <v>0</v>
      </c>
      <c r="L38" s="19">
        <f t="shared" si="2"/>
        <v>0</v>
      </c>
      <c r="M38" s="19">
        <f t="shared" si="2"/>
        <v>0</v>
      </c>
      <c r="N38" s="19">
        <f t="shared" si="2"/>
        <v>0</v>
      </c>
      <c r="O38" s="19">
        <f t="shared" si="2"/>
        <v>0</v>
      </c>
      <c r="P38" s="19">
        <f t="shared" si="2"/>
        <v>0</v>
      </c>
      <c r="Q38" s="19">
        <f t="shared" si="2"/>
        <v>0</v>
      </c>
      <c r="R38" s="19">
        <f t="shared" si="2"/>
        <v>0</v>
      </c>
    </row>
    <row r="39" spans="1:18" x14ac:dyDescent="0.25">
      <c r="B39" s="19" t="s">
        <v>78</v>
      </c>
      <c r="C39" s="51"/>
      <c r="D39" s="19">
        <f t="shared" ref="D39:R42" si="3">SUMIF($B$5:$B$34,$B39,D$5:D$34)</f>
        <v>0</v>
      </c>
      <c r="E39" s="19">
        <f t="shared" si="3"/>
        <v>0</v>
      </c>
      <c r="F39" s="19">
        <f t="shared" si="3"/>
        <v>0</v>
      </c>
      <c r="G39" s="19">
        <f>SUMIF($B$5:$B$34,$B39,G$5:G$34)</f>
        <v>0</v>
      </c>
      <c r="H39" s="19">
        <f t="shared" si="3"/>
        <v>0</v>
      </c>
      <c r="I39" s="19">
        <f t="shared" si="3"/>
        <v>0</v>
      </c>
      <c r="J39" s="19">
        <f t="shared" si="3"/>
        <v>0</v>
      </c>
      <c r="K39" s="19">
        <f t="shared" si="3"/>
        <v>0</v>
      </c>
      <c r="L39" s="19">
        <f t="shared" si="3"/>
        <v>0</v>
      </c>
      <c r="M39" s="19">
        <f t="shared" si="3"/>
        <v>0</v>
      </c>
      <c r="N39" s="19">
        <f t="shared" si="3"/>
        <v>0</v>
      </c>
      <c r="O39" s="19">
        <f t="shared" si="3"/>
        <v>0</v>
      </c>
      <c r="P39" s="19">
        <f t="shared" si="3"/>
        <v>0</v>
      </c>
      <c r="Q39" s="19">
        <f t="shared" si="3"/>
        <v>0</v>
      </c>
      <c r="R39" s="19">
        <f t="shared" si="3"/>
        <v>0</v>
      </c>
    </row>
    <row r="40" spans="1:18" x14ac:dyDescent="0.25">
      <c r="B40" s="19" t="s">
        <v>24</v>
      </c>
      <c r="C40" s="51"/>
      <c r="D40" s="19">
        <f t="shared" si="3"/>
        <v>0</v>
      </c>
      <c r="E40" s="19">
        <f t="shared" si="3"/>
        <v>0</v>
      </c>
      <c r="F40" s="19">
        <f t="shared" si="3"/>
        <v>0</v>
      </c>
      <c r="G40" s="19">
        <f t="shared" si="3"/>
        <v>0</v>
      </c>
      <c r="H40" s="19">
        <f t="shared" si="3"/>
        <v>0</v>
      </c>
      <c r="I40" s="19">
        <f t="shared" si="3"/>
        <v>0</v>
      </c>
      <c r="J40" s="19">
        <f t="shared" si="3"/>
        <v>0</v>
      </c>
      <c r="K40" s="19">
        <f t="shared" si="3"/>
        <v>0</v>
      </c>
      <c r="L40" s="19">
        <f t="shared" si="3"/>
        <v>0</v>
      </c>
      <c r="M40" s="19">
        <f t="shared" si="3"/>
        <v>0</v>
      </c>
      <c r="N40" s="19">
        <f t="shared" si="3"/>
        <v>0</v>
      </c>
      <c r="O40" s="19">
        <f t="shared" si="3"/>
        <v>0</v>
      </c>
      <c r="P40" s="19">
        <f t="shared" si="3"/>
        <v>0</v>
      </c>
      <c r="Q40" s="19">
        <f t="shared" si="3"/>
        <v>0</v>
      </c>
      <c r="R40" s="19">
        <f t="shared" si="3"/>
        <v>0</v>
      </c>
    </row>
    <row r="41" spans="1:18" x14ac:dyDescent="0.25">
      <c r="B41" s="35" t="s">
        <v>79</v>
      </c>
      <c r="C41" s="51"/>
      <c r="D41" s="19">
        <f t="shared" si="3"/>
        <v>0</v>
      </c>
      <c r="E41" s="19">
        <f t="shared" si="3"/>
        <v>0</v>
      </c>
      <c r="F41" s="19">
        <f t="shared" si="3"/>
        <v>0</v>
      </c>
      <c r="G41" s="19">
        <f t="shared" si="3"/>
        <v>0</v>
      </c>
      <c r="H41" s="19">
        <f t="shared" si="3"/>
        <v>0</v>
      </c>
      <c r="I41" s="19">
        <f t="shared" si="3"/>
        <v>0</v>
      </c>
      <c r="J41" s="19">
        <f t="shared" si="3"/>
        <v>0</v>
      </c>
      <c r="K41" s="19">
        <f t="shared" si="3"/>
        <v>0</v>
      </c>
      <c r="L41" s="19">
        <f t="shared" si="3"/>
        <v>0</v>
      </c>
      <c r="M41" s="19">
        <f t="shared" si="3"/>
        <v>0</v>
      </c>
      <c r="N41" s="19">
        <f t="shared" si="3"/>
        <v>0</v>
      </c>
      <c r="O41" s="19">
        <f t="shared" si="3"/>
        <v>0</v>
      </c>
      <c r="P41" s="19">
        <f t="shared" si="3"/>
        <v>0</v>
      </c>
      <c r="Q41" s="19">
        <f t="shared" si="3"/>
        <v>0</v>
      </c>
      <c r="R41" s="19">
        <f t="shared" si="3"/>
        <v>0</v>
      </c>
    </row>
    <row r="42" spans="1:18" x14ac:dyDescent="0.25">
      <c r="B42" s="35" t="s">
        <v>80</v>
      </c>
      <c r="C42" s="51"/>
      <c r="D42" s="19">
        <f t="shared" si="3"/>
        <v>0</v>
      </c>
      <c r="E42" s="19">
        <f t="shared" si="3"/>
        <v>0</v>
      </c>
      <c r="F42" s="19">
        <f t="shared" si="3"/>
        <v>0</v>
      </c>
      <c r="G42" s="19">
        <f t="shared" si="3"/>
        <v>0</v>
      </c>
      <c r="H42" s="19">
        <f t="shared" si="3"/>
        <v>0</v>
      </c>
      <c r="I42" s="19">
        <f t="shared" si="3"/>
        <v>0</v>
      </c>
      <c r="J42" s="19">
        <f t="shared" si="3"/>
        <v>0</v>
      </c>
      <c r="K42" s="19">
        <f t="shared" si="3"/>
        <v>0</v>
      </c>
      <c r="L42" s="19">
        <f t="shared" si="3"/>
        <v>0</v>
      </c>
      <c r="M42" s="19">
        <f t="shared" si="3"/>
        <v>0</v>
      </c>
      <c r="N42" s="19">
        <f t="shared" si="3"/>
        <v>0</v>
      </c>
      <c r="O42" s="19">
        <f t="shared" si="3"/>
        <v>0</v>
      </c>
      <c r="P42" s="19">
        <f t="shared" si="3"/>
        <v>0</v>
      </c>
      <c r="Q42" s="19">
        <f t="shared" si="3"/>
        <v>0</v>
      </c>
      <c r="R42" s="19">
        <f t="shared" si="3"/>
        <v>0</v>
      </c>
    </row>
  </sheetData>
  <phoneticPr fontId="1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S 4 t W V B 3 8 p O y k A A A A 9 Q A A A B I A H A B D b 2 5 m a W c v U G F j a 2 F n Z S 5 4 b W w g o h g A K K A U A A A A A A A A A A A A A A A A A A A A A A A A A A A A h Y + x D o I w G I R f h X S n L e h A y E 8 Z W B w k M T E x r k 0 p 0 A j F t M X y b g 4 + k q 8 g R l E 3 x 7 v v L r m 7 X 2 + Q T 3 0 X X K S x a t A Z i j B F g d R i q J R u M j S 6 O k x Q z m D H x Y k 3 M p j D 2 q a T V R l q n T u n h H j v s V / h w T Q k p j Q i x 3 K 7 F 6 3 s e a i 0 d V w L i T 6 t 6 n 8 L M T i 8 x r A Y J 2 u c 0 H k S k M W D U u k v j 2 f 2 p D 8 m F G P n R i N Z b c J i A 2 S R Q N 4 X 2 A N Q S w M E F A A C A A g A S 4 t W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u L V l Q o i k e 4 D g A A A B E A A A A T A B w A R m 9 y b X V s Y X M v U 2 V j d G l v b j E u b S C i G A A o o B Q A A A A A A A A A A A A A A A A A A A A A A A A A A A A r T k 0 u y c z P U w i G 0 I b W A F B L A Q I t A B Q A A g A I A E u L V l Q d / K T s p A A A A P U A A A A S A A A A A A A A A A A A A A A A A A A A A A B D b 2 5 m a W c v U G F j a 2 F n Z S 5 4 b W x Q S w E C L Q A U A A I A C A B L i 1 Z U D 8 r p q 6 Q A A A D p A A A A E w A A A A A A A A A A A A A A A A D w A A A A W 0 N v b n R l b n R f V H l w Z X N d L n h t b F B L A Q I t A B Q A A g A I A E u L V l Q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0 O X Y F H n F u Q a T i B Z e B 2 q s U A A A A A A I A A A A A A A N m A A D A A A A A E A A A A G C z F w Y 5 A l L G n m m + p M v + p P s A A A A A B I A A A K A A A A A Q A A A A y g v E n z 6 1 e 1 D n b b V L Q c r O T F A A A A D F d g i 4 T q W 1 7 q q 7 q W E h G q I 8 R Z 4 s S L P m m Z H y P c x T s F s + S Q 3 8 5 C t K P Z / W X q z t j 0 5 D w I D y o n y 5 g P p D o a Q X V R C 4 8 V y G L A e 6 W O t K 9 Y L R d f D S D E T v 4 h Q A A A C P z G O i 3 D f b l Y Z P c 7 7 D / Q / y q k o c o w = = < / D a t a M a s h u p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9ADB6C7BA67E846A61A397506C4AF06" ma:contentTypeVersion="14" ma:contentTypeDescription="Create a new document." ma:contentTypeScope="" ma:versionID="43b8182c22eecb393651bdd5283cdf63">
  <xsd:schema xmlns:xsd="http://www.w3.org/2001/XMLSchema" xmlns:xs="http://www.w3.org/2001/XMLSchema" xmlns:p="http://schemas.microsoft.com/office/2006/metadata/properties" xmlns:ns3="1f08261c-4bbf-460f-b867-9366e1ea5dda" xmlns:ns4="ed7f2f34-a2c2-4f5b-9d37-74113eba67e7" targetNamespace="http://schemas.microsoft.com/office/2006/metadata/properties" ma:root="true" ma:fieldsID="c652f5f5c6a79c265023a9751a1b42ec" ns3:_="" ns4:_="">
    <xsd:import namespace="1f08261c-4bbf-460f-b867-9366e1ea5dda"/>
    <xsd:import namespace="ed7f2f34-a2c2-4f5b-9d37-74113eba67e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08261c-4bbf-460f-b867-9366e1ea5dd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7f2f34-a2c2-4f5b-9d37-74113eba67e7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5C26FD7-5AAC-49BD-8292-4A30566B5680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0A17E0D4-7E45-45C6-8A68-643888960EB8}">
  <ds:schemaRefs>
    <ds:schemaRef ds:uri="http://purl.org/dc/terms/"/>
    <ds:schemaRef ds:uri="ed7f2f34-a2c2-4f5b-9d37-74113eba67e7"/>
    <ds:schemaRef ds:uri="1f08261c-4bbf-460f-b867-9366e1ea5dda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4FB468D5-DF39-40BB-9867-D1B3430A70B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8AE5CE41-E953-4756-B4DB-B6D1820D387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f08261c-4bbf-460f-b867-9366e1ea5dda"/>
    <ds:schemaRef ds:uri="ed7f2f34-a2c2-4f5b-9d37-74113eba67e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Départs</vt:lpstr>
      <vt:lpstr>Répartition</vt:lpstr>
      <vt:lpstr>Retours</vt:lpstr>
      <vt:lpstr>Historique coef</vt:lpstr>
      <vt:lpstr>Coefs</vt:lpstr>
      <vt:lpstr>Indice de charge</vt:lpstr>
      <vt:lpstr>Répartition</vt:lpstr>
      <vt:lpstr>Totrépartition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Clement CHARDON</dc:creator>
  <cp:keywords/>
  <dc:description/>
  <cp:lastModifiedBy>Gregory BOISSET</cp:lastModifiedBy>
  <cp:revision/>
  <dcterms:created xsi:type="dcterms:W3CDTF">2021-12-14T09:22:36Z</dcterms:created>
  <dcterms:modified xsi:type="dcterms:W3CDTF">2022-03-02T16:04:06Z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0x01010009ADB6C7BA67E846A61A397506C4AF06</vt:lpwstr>
  </property>
  <property fmtid="{D5CDD505-2E9C-101B-9397-08002B2CF9AE}" pid="3" name="_dlc_DocIdItemGuid">
    <vt:lpwstr>b17f565b-917b-40b3-826b-604f748f7508</vt:lpwstr>
  </property>
</Properties>
</file>