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 tabRatio="881" firstSheet="2" activeTab="13"/>
  </bookViews>
  <sheets>
    <sheet name="Présentation du classeur" sheetId="13" r:id="rId1"/>
    <sheet name="Registre du Personnel" sheetId="26" state="hidden" r:id="rId2"/>
    <sheet name="BaseDeDonnéesSalariés" sheetId="1" r:id="rId3"/>
    <sheet name="Tableau des salaires" sheetId="14" state="hidden" r:id="rId4"/>
    <sheet name="BaseDeDonnéesClients" sheetId="5" r:id="rId5"/>
    <sheet name="RelevéHeuresChantiersParMois" sheetId="4" r:id="rId6"/>
    <sheet name="RécapitulatifHeuresParMois" sheetId="6" r:id="rId7"/>
    <sheet name="BP 2011" sheetId="8" state="hidden" r:id="rId8"/>
    <sheet name="BP 2012" sheetId="20" state="hidden" r:id="rId9"/>
    <sheet name="BP 2013" sheetId="19" state="hidden" r:id="rId10"/>
    <sheet name="Résultat Comptable  2010" sheetId="12" state="hidden" r:id="rId11"/>
    <sheet name="Bilan Prévisionnel 2010" sheetId="17" state="hidden" r:id="rId12"/>
    <sheet name="Prévisionnel de Trésorerie" sheetId="16" state="hidden" r:id="rId13"/>
    <sheet name="RatiosDeProduction" sheetId="18" r:id="rId14"/>
  </sheets>
  <externalReferences>
    <externalReference r:id="rId15"/>
  </externalReferences>
  <calcPr calcId="125725"/>
</workbook>
</file>

<file path=xl/calcChain.xml><?xml version="1.0" encoding="utf-8"?>
<calcChain xmlns="http://schemas.openxmlformats.org/spreadsheetml/2006/main">
  <c r="AS3" i="4"/>
  <c r="AT3"/>
  <c r="AU3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Q45"/>
  <c r="B45"/>
  <c r="BQ44"/>
  <c r="B44"/>
  <c r="BQ43"/>
  <c r="B43"/>
  <c r="BQ42"/>
  <c r="B42"/>
  <c r="BQ41"/>
  <c r="B41"/>
  <c r="BQ40"/>
  <c r="B40"/>
  <c r="BQ39"/>
  <c r="B39"/>
  <c r="BQ38"/>
  <c r="B38"/>
  <c r="BQ37"/>
  <c r="B37"/>
  <c r="BQ36"/>
  <c r="B36"/>
  <c r="BQ35"/>
  <c r="B35"/>
  <c r="BQ34"/>
  <c r="B34"/>
  <c r="BQ33"/>
  <c r="B33"/>
  <c r="BQ32"/>
  <c r="B32"/>
  <c r="BQ31"/>
  <c r="B31"/>
  <c r="BQ30"/>
  <c r="B30"/>
  <c r="BQ29"/>
  <c r="B29"/>
  <c r="BQ28"/>
  <c r="B28"/>
  <c r="BQ27"/>
  <c r="B27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S20" i="1"/>
  <c r="S19"/>
  <c r="S18"/>
  <c r="S17"/>
  <c r="S16"/>
  <c r="S15"/>
  <c r="S14"/>
  <c r="S13"/>
  <c r="S12"/>
  <c r="S11"/>
  <c r="S10"/>
  <c r="S9"/>
  <c r="S8"/>
  <c r="S7"/>
  <c r="S6"/>
  <c r="S5"/>
  <c r="S4"/>
  <c r="S2"/>
  <c r="S3"/>
  <c r="B91" i="18"/>
  <c r="B87"/>
  <c r="B76"/>
  <c r="F68"/>
  <c r="E68"/>
  <c r="G68"/>
  <c r="C68"/>
  <c r="B68"/>
  <c r="L68"/>
  <c r="C67"/>
  <c r="C69"/>
  <c r="H65"/>
  <c r="F65"/>
  <c r="E65"/>
  <c r="B65"/>
  <c r="D65"/>
  <c r="L64"/>
  <c r="I64"/>
  <c r="G64"/>
  <c r="J64"/>
  <c r="K64"/>
  <c r="L63"/>
  <c r="I63"/>
  <c r="G63"/>
  <c r="M63"/>
  <c r="N63"/>
  <c r="M62"/>
  <c r="L62"/>
  <c r="L65"/>
  <c r="I62"/>
  <c r="G62"/>
  <c r="J62"/>
  <c r="H60"/>
  <c r="F60"/>
  <c r="E60"/>
  <c r="B60"/>
  <c r="D60"/>
  <c r="L59"/>
  <c r="I59"/>
  <c r="G59"/>
  <c r="J59"/>
  <c r="K59"/>
  <c r="L58"/>
  <c r="I58"/>
  <c r="G58"/>
  <c r="M58"/>
  <c r="N58"/>
  <c r="M57"/>
  <c r="L57"/>
  <c r="L60"/>
  <c r="I57"/>
  <c r="G57"/>
  <c r="J57"/>
  <c r="H55"/>
  <c r="F55"/>
  <c r="E55"/>
  <c r="G54"/>
  <c r="J54"/>
  <c r="K54"/>
  <c r="B54"/>
  <c r="L54"/>
  <c r="M54"/>
  <c r="N54"/>
  <c r="G53"/>
  <c r="J53"/>
  <c r="B53"/>
  <c r="L53"/>
  <c r="H51"/>
  <c r="F51"/>
  <c r="E51"/>
  <c r="L50"/>
  <c r="G50"/>
  <c r="J50"/>
  <c r="K50"/>
  <c r="G49"/>
  <c r="J49"/>
  <c r="K49"/>
  <c r="B49"/>
  <c r="L49"/>
  <c r="G48"/>
  <c r="G51"/>
  <c r="B48"/>
  <c r="B51"/>
  <c r="D51"/>
  <c r="H46"/>
  <c r="F46"/>
  <c r="E46"/>
  <c r="G45"/>
  <c r="B45"/>
  <c r="I45"/>
  <c r="G44"/>
  <c r="G46"/>
  <c r="B44"/>
  <c r="B46"/>
  <c r="D46"/>
  <c r="H42"/>
  <c r="L41"/>
  <c r="I41"/>
  <c r="G41"/>
  <c r="J41"/>
  <c r="K41"/>
  <c r="G40"/>
  <c r="B40"/>
  <c r="I40"/>
  <c r="F39"/>
  <c r="F42"/>
  <c r="E39"/>
  <c r="E42"/>
  <c r="B39"/>
  <c r="I39"/>
  <c r="H37"/>
  <c r="H67"/>
  <c r="F37"/>
  <c r="F67"/>
  <c r="F69"/>
  <c r="E37"/>
  <c r="E67"/>
  <c r="E69"/>
  <c r="B37"/>
  <c r="L36"/>
  <c r="L37"/>
  <c r="I36"/>
  <c r="G36"/>
  <c r="J36"/>
  <c r="C32"/>
  <c r="H31"/>
  <c r="L30"/>
  <c r="I30"/>
  <c r="F30"/>
  <c r="F31"/>
  <c r="L29"/>
  <c r="I29"/>
  <c r="G29"/>
  <c r="M29"/>
  <c r="N29"/>
  <c r="G28"/>
  <c r="E28"/>
  <c r="E31"/>
  <c r="G31"/>
  <c r="B28"/>
  <c r="B31"/>
  <c r="D31"/>
  <c r="H26"/>
  <c r="F26"/>
  <c r="E26"/>
  <c r="B26"/>
  <c r="D26"/>
  <c r="L25"/>
  <c r="I25"/>
  <c r="G25"/>
  <c r="M25"/>
  <c r="N25"/>
  <c r="L24"/>
  <c r="L26"/>
  <c r="I24"/>
  <c r="G24"/>
  <c r="G26"/>
  <c r="H22"/>
  <c r="E22"/>
  <c r="L21"/>
  <c r="I21"/>
  <c r="G21"/>
  <c r="J21"/>
  <c r="K21"/>
  <c r="F20"/>
  <c r="F22"/>
  <c r="B20"/>
  <c r="I20"/>
  <c r="G19"/>
  <c r="J19"/>
  <c r="K19"/>
  <c r="B19"/>
  <c r="L19"/>
  <c r="G18"/>
  <c r="J18"/>
  <c r="K18"/>
  <c r="B18"/>
  <c r="L18"/>
  <c r="G17"/>
  <c r="J17"/>
  <c r="B17"/>
  <c r="L17"/>
  <c r="H15"/>
  <c r="G14"/>
  <c r="B14"/>
  <c r="I14"/>
  <c r="G13"/>
  <c r="E13"/>
  <c r="B13"/>
  <c r="I13"/>
  <c r="F12"/>
  <c r="G12"/>
  <c r="B12"/>
  <c r="B15"/>
  <c r="D15"/>
  <c r="L11"/>
  <c r="I11"/>
  <c r="E11"/>
  <c r="G11"/>
  <c r="L10"/>
  <c r="I10"/>
  <c r="E10"/>
  <c r="E15"/>
  <c r="H8"/>
  <c r="H32"/>
  <c r="F8"/>
  <c r="B8"/>
  <c r="D8"/>
  <c r="L7"/>
  <c r="I7"/>
  <c r="E7"/>
  <c r="G7"/>
  <c r="L6"/>
  <c r="I6"/>
  <c r="G6"/>
  <c r="J6"/>
  <c r="K6"/>
  <c r="L5"/>
  <c r="L8"/>
  <c r="I5"/>
  <c r="E5"/>
  <c r="E8"/>
  <c r="E32"/>
  <c r="G71" i="14"/>
  <c r="F71"/>
  <c r="I67"/>
  <c r="F67"/>
  <c r="G64"/>
  <c r="F64"/>
  <c r="C64"/>
  <c r="D64"/>
  <c r="E64"/>
  <c r="B64"/>
  <c r="G63"/>
  <c r="F63"/>
  <c r="C63"/>
  <c r="D63"/>
  <c r="E63"/>
  <c r="B63"/>
  <c r="J59"/>
  <c r="K39"/>
  <c r="G34"/>
  <c r="E34"/>
  <c r="E35"/>
  <c r="G29"/>
  <c r="I29"/>
  <c r="G27"/>
  <c r="F27"/>
  <c r="G26"/>
  <c r="I26"/>
  <c r="G25"/>
  <c r="F25"/>
  <c r="G24"/>
  <c r="F24"/>
  <c r="G23"/>
  <c r="I23"/>
  <c r="G22"/>
  <c r="K22"/>
  <c r="L22"/>
  <c r="G20"/>
  <c r="I20"/>
  <c r="G19"/>
  <c r="I19"/>
  <c r="J19"/>
  <c r="I18"/>
  <c r="J18"/>
  <c r="I17"/>
  <c r="J55"/>
  <c r="F17"/>
  <c r="I16"/>
  <c r="J16"/>
  <c r="F16"/>
  <c r="I15"/>
  <c r="J15"/>
  <c r="F15"/>
  <c r="G14"/>
  <c r="F14"/>
  <c r="C71"/>
  <c r="D71"/>
  <c r="E71"/>
  <c r="I13"/>
  <c r="J13"/>
  <c r="G13"/>
  <c r="F13"/>
  <c r="G12"/>
  <c r="F12"/>
  <c r="G11"/>
  <c r="I11"/>
  <c r="J11"/>
  <c r="G10"/>
  <c r="I10"/>
  <c r="J10"/>
  <c r="I9"/>
  <c r="J9"/>
  <c r="G8"/>
  <c r="I8"/>
  <c r="J8"/>
  <c r="G7"/>
  <c r="I7"/>
  <c r="J7"/>
  <c r="G6"/>
  <c r="I6"/>
  <c r="J6"/>
  <c r="G5"/>
  <c r="I5"/>
  <c r="J5"/>
  <c r="G4"/>
  <c r="I4"/>
  <c r="J4"/>
  <c r="J7" i="18"/>
  <c r="K7"/>
  <c r="M7"/>
  <c r="N7"/>
  <c r="J37"/>
  <c r="K36"/>
  <c r="L55"/>
  <c r="M53"/>
  <c r="M68"/>
  <c r="M11"/>
  <c r="N11"/>
  <c r="J11"/>
  <c r="K11"/>
  <c r="J12"/>
  <c r="K12"/>
  <c r="K17"/>
  <c r="J55"/>
  <c r="K55"/>
  <c r="K53"/>
  <c r="K57"/>
  <c r="K62"/>
  <c r="G5"/>
  <c r="M6"/>
  <c r="N6"/>
  <c r="G10"/>
  <c r="I12"/>
  <c r="J13"/>
  <c r="K13"/>
  <c r="L13"/>
  <c r="M13"/>
  <c r="N13"/>
  <c r="J14"/>
  <c r="K14"/>
  <c r="L14"/>
  <c r="M14"/>
  <c r="N14"/>
  <c r="F15"/>
  <c r="F32"/>
  <c r="I17"/>
  <c r="M17"/>
  <c r="I18"/>
  <c r="M18"/>
  <c r="N18"/>
  <c r="I19"/>
  <c r="M19"/>
  <c r="N19"/>
  <c r="G20"/>
  <c r="L20"/>
  <c r="L22"/>
  <c r="M21"/>
  <c r="N21"/>
  <c r="B22"/>
  <c r="D22"/>
  <c r="G22"/>
  <c r="M24"/>
  <c r="J25"/>
  <c r="K25"/>
  <c r="J28"/>
  <c r="J29"/>
  <c r="K29"/>
  <c r="G30"/>
  <c r="B32"/>
  <c r="D32"/>
  <c r="M36"/>
  <c r="G37"/>
  <c r="G39"/>
  <c r="L39"/>
  <c r="J40"/>
  <c r="K40"/>
  <c r="L40"/>
  <c r="M40"/>
  <c r="N40"/>
  <c r="M41"/>
  <c r="N41"/>
  <c r="B42"/>
  <c r="D42"/>
  <c r="J44"/>
  <c r="L44"/>
  <c r="J45"/>
  <c r="K45"/>
  <c r="L45"/>
  <c r="M45"/>
  <c r="N45"/>
  <c r="I48"/>
  <c r="I49"/>
  <c r="M49"/>
  <c r="N49"/>
  <c r="M50"/>
  <c r="I53"/>
  <c r="I54"/>
  <c r="B55"/>
  <c r="D55"/>
  <c r="G55"/>
  <c r="J58"/>
  <c r="K58"/>
  <c r="M59"/>
  <c r="N59"/>
  <c r="G60"/>
  <c r="J63"/>
  <c r="K63"/>
  <c r="M64"/>
  <c r="N64"/>
  <c r="G65"/>
  <c r="D68"/>
  <c r="H68"/>
  <c r="H69"/>
  <c r="L12"/>
  <c r="M12"/>
  <c r="N12"/>
  <c r="J24"/>
  <c r="I28"/>
  <c r="L28"/>
  <c r="L31"/>
  <c r="D37"/>
  <c r="I44"/>
  <c r="M44"/>
  <c r="J48"/>
  <c r="L48"/>
  <c r="L51"/>
  <c r="N57"/>
  <c r="N60"/>
  <c r="N62"/>
  <c r="N65"/>
  <c r="J17" i="14"/>
  <c r="M46" i="18"/>
  <c r="N44"/>
  <c r="N46"/>
  <c r="M20"/>
  <c r="N20"/>
  <c r="J20"/>
  <c r="K37"/>
  <c r="M48"/>
  <c r="L46"/>
  <c r="L42"/>
  <c r="L67"/>
  <c r="L69"/>
  <c r="B67"/>
  <c r="I32"/>
  <c r="J65"/>
  <c r="K65"/>
  <c r="J60"/>
  <c r="K60"/>
  <c r="M65"/>
  <c r="L15"/>
  <c r="L32"/>
  <c r="J51"/>
  <c r="K51"/>
  <c r="K48"/>
  <c r="J26"/>
  <c r="K26"/>
  <c r="K24"/>
  <c r="I68"/>
  <c r="N68"/>
  <c r="J68"/>
  <c r="K68"/>
  <c r="J46"/>
  <c r="K46"/>
  <c r="K44"/>
  <c r="M39"/>
  <c r="G42"/>
  <c r="G67"/>
  <c r="G69"/>
  <c r="J39"/>
  <c r="M37"/>
  <c r="N36"/>
  <c r="N37"/>
  <c r="M30"/>
  <c r="N30"/>
  <c r="J30"/>
  <c r="K30"/>
  <c r="N24"/>
  <c r="N26"/>
  <c r="M26"/>
  <c r="M22"/>
  <c r="N17"/>
  <c r="N22"/>
  <c r="G15"/>
  <c r="M10"/>
  <c r="J10"/>
  <c r="M5"/>
  <c r="G8"/>
  <c r="G32"/>
  <c r="J5"/>
  <c r="M55"/>
  <c r="N53"/>
  <c r="N55"/>
  <c r="J31"/>
  <c r="K31"/>
  <c r="M28"/>
  <c r="M60"/>
  <c r="N28"/>
  <c r="N31"/>
  <c r="M31"/>
  <c r="K5"/>
  <c r="J8"/>
  <c r="M8"/>
  <c r="N5"/>
  <c r="N8"/>
  <c r="M15"/>
  <c r="N10"/>
  <c r="N15"/>
  <c r="K39"/>
  <c r="J42"/>
  <c r="M42"/>
  <c r="N39"/>
  <c r="N42"/>
  <c r="K20"/>
  <c r="J22"/>
  <c r="K22"/>
  <c r="J15"/>
  <c r="K15"/>
  <c r="K10"/>
  <c r="B69"/>
  <c r="D67"/>
  <c r="I67"/>
  <c r="N48"/>
  <c r="N51"/>
  <c r="N67"/>
  <c r="N69"/>
  <c r="M51"/>
  <c r="M67"/>
  <c r="M69"/>
  <c r="M32"/>
  <c r="D69"/>
  <c r="I69"/>
  <c r="K42"/>
  <c r="J67"/>
  <c r="K8"/>
  <c r="J32"/>
  <c r="K32"/>
  <c r="N32"/>
  <c r="J69"/>
  <c r="K69"/>
  <c r="K67"/>
  <c r="AD85" i="16"/>
  <c r="AE85"/>
  <c r="AC85"/>
  <c r="R85"/>
  <c r="AD84"/>
  <c r="AE84"/>
  <c r="AC84"/>
  <c r="AP82"/>
  <c r="AN82"/>
  <c r="AP81"/>
  <c r="AN81"/>
  <c r="R81"/>
  <c r="AN80"/>
  <c r="T79"/>
  <c r="BW75"/>
  <c r="BW76"/>
  <c r="AU75"/>
  <c r="AU76"/>
  <c r="CS74"/>
  <c r="CR74"/>
  <c r="CP74"/>
  <c r="CN74"/>
  <c r="CL74"/>
  <c r="CJ74"/>
  <c r="CH74"/>
  <c r="CF74"/>
  <c r="CD74"/>
  <c r="CB74"/>
  <c r="BZ74"/>
  <c r="BX74"/>
  <c r="BV74"/>
  <c r="BP74"/>
  <c r="BN74"/>
  <c r="BL74"/>
  <c r="BJ74"/>
  <c r="BH74"/>
  <c r="BF74"/>
  <c r="BD74"/>
  <c r="CR72"/>
  <c r="CJ72"/>
  <c r="CB72"/>
  <c r="CA72"/>
  <c r="BY72"/>
  <c r="X72"/>
  <c r="V72"/>
  <c r="N72"/>
  <c r="M72"/>
  <c r="L72"/>
  <c r="J72"/>
  <c r="I72"/>
  <c r="H72"/>
  <c r="G72"/>
  <c r="F72"/>
  <c r="E72"/>
  <c r="D72"/>
  <c r="C72"/>
  <c r="B72"/>
  <c r="CS71"/>
  <c r="BQ71"/>
  <c r="AP71"/>
  <c r="O71"/>
  <c r="BQ70"/>
  <c r="AP70"/>
  <c r="CS69"/>
  <c r="BQ69"/>
  <c r="AP69"/>
  <c r="O69"/>
  <c r="CS68"/>
  <c r="BQ68"/>
  <c r="AP68"/>
  <c r="O68"/>
  <c r="CS67"/>
  <c r="BQ67"/>
  <c r="AP67"/>
  <c r="O67"/>
  <c r="AP66"/>
  <c r="T66"/>
  <c r="CS65"/>
  <c r="BQ65"/>
  <c r="AP65"/>
  <c r="CS64"/>
  <c r="BQ64"/>
  <c r="AS64"/>
  <c r="AP64"/>
  <c r="T64"/>
  <c r="O64"/>
  <c r="BV63"/>
  <c r="CS63"/>
  <c r="AT63"/>
  <c r="BQ63"/>
  <c r="AS63"/>
  <c r="AP63"/>
  <c r="O63"/>
  <c r="CN62"/>
  <c r="CS62"/>
  <c r="BL62"/>
  <c r="BQ62"/>
  <c r="AK62"/>
  <c r="AP62"/>
  <c r="O62"/>
  <c r="BV61"/>
  <c r="AT61"/>
  <c r="BQ61"/>
  <c r="AS61"/>
  <c r="AP61"/>
  <c r="BQ60"/>
  <c r="AS60"/>
  <c r="AP60"/>
  <c r="BV59"/>
  <c r="CS59"/>
  <c r="AT59"/>
  <c r="BQ59"/>
  <c r="AK59"/>
  <c r="AE59"/>
  <c r="Y59"/>
  <c r="R59"/>
  <c r="O59"/>
  <c r="BV58"/>
  <c r="CS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O58"/>
  <c r="AM58"/>
  <c r="AK58"/>
  <c r="AI58"/>
  <c r="T58"/>
  <c r="R58"/>
  <c r="O58"/>
  <c r="BV57"/>
  <c r="CS57"/>
  <c r="AT57"/>
  <c r="BQ57"/>
  <c r="AP57"/>
  <c r="CS56"/>
  <c r="BQ56"/>
  <c r="AP56"/>
  <c r="CS55"/>
  <c r="BQ55"/>
  <c r="AP55"/>
  <c r="CS54"/>
  <c r="BQ54"/>
  <c r="AP54"/>
  <c r="O54"/>
  <c r="CS53"/>
  <c r="BQ53"/>
  <c r="AP53"/>
  <c r="O53"/>
  <c r="CS52"/>
  <c r="BU52"/>
  <c r="BU72"/>
  <c r="BQ52"/>
  <c r="AS52"/>
  <c r="R52"/>
  <c r="CS51"/>
  <c r="BQ51"/>
  <c r="AP51"/>
  <c r="O51"/>
  <c r="CS50"/>
  <c r="BQ50"/>
  <c r="O50"/>
  <c r="O48"/>
  <c r="O47"/>
  <c r="CS46"/>
  <c r="BQ46"/>
  <c r="AP46"/>
  <c r="O46"/>
  <c r="CS45"/>
  <c r="BQ45"/>
  <c r="AP45"/>
  <c r="O45"/>
  <c r="CS44"/>
  <c r="BQ44"/>
  <c r="AP44"/>
  <c r="O44"/>
  <c r="CS43"/>
  <c r="BQ43"/>
  <c r="AP43"/>
  <c r="O43"/>
  <c r="CS42"/>
  <c r="BQ42"/>
  <c r="AP42"/>
  <c r="T42"/>
  <c r="O42"/>
  <c r="CS41"/>
  <c r="BQ41"/>
  <c r="AP41"/>
  <c r="O41"/>
  <c r="CS40"/>
  <c r="BQ40"/>
  <c r="AP40"/>
  <c r="O40"/>
  <c r="CS39"/>
  <c r="BQ39"/>
  <c r="AC39"/>
  <c r="W39"/>
  <c r="O39"/>
  <c r="CP38"/>
  <c r="CP72"/>
  <c r="CN38"/>
  <c r="CL38"/>
  <c r="CL72"/>
  <c r="CH38"/>
  <c r="CF38"/>
  <c r="CF72"/>
  <c r="CD38"/>
  <c r="CD72"/>
  <c r="BZ38"/>
  <c r="BZ72"/>
  <c r="BX38"/>
  <c r="BX72"/>
  <c r="BV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Y72"/>
  <c r="AX38"/>
  <c r="AW38"/>
  <c r="AW72"/>
  <c r="AV38"/>
  <c r="AU38"/>
  <c r="AT38"/>
  <c r="BQ38"/>
  <c r="AO38"/>
  <c r="AM38"/>
  <c r="AK38"/>
  <c r="AI38"/>
  <c r="AG38"/>
  <c r="AE38"/>
  <c r="AC38"/>
  <c r="AA38"/>
  <c r="Y38"/>
  <c r="W38"/>
  <c r="U38"/>
  <c r="T38"/>
  <c r="S38"/>
  <c r="O38"/>
  <c r="CS37"/>
  <c r="BQ37"/>
  <c r="AP37"/>
  <c r="O37"/>
  <c r="CS36"/>
  <c r="BQ36"/>
  <c r="AP36"/>
  <c r="T36"/>
  <c r="K36"/>
  <c r="O36"/>
  <c r="CS35"/>
  <c r="BQ35"/>
  <c r="AP35"/>
  <c r="T35"/>
  <c r="O35"/>
  <c r="CH34"/>
  <c r="CH72"/>
  <c r="BP34"/>
  <c r="BN34"/>
  <c r="BL34"/>
  <c r="BJ34"/>
  <c r="BH34"/>
  <c r="BF34"/>
  <c r="BD34"/>
  <c r="BB34"/>
  <c r="AZ34"/>
  <c r="AX34"/>
  <c r="AV34"/>
  <c r="AT34"/>
  <c r="BQ34"/>
  <c r="AO34"/>
  <c r="AM34"/>
  <c r="AK34"/>
  <c r="AI34"/>
  <c r="AG34"/>
  <c r="AE34"/>
  <c r="AC34"/>
  <c r="AA34"/>
  <c r="Y34"/>
  <c r="W34"/>
  <c r="U34"/>
  <c r="S34"/>
  <c r="AP34"/>
  <c r="O34"/>
  <c r="CS33"/>
  <c r="BQ33"/>
  <c r="AP33"/>
  <c r="O33"/>
  <c r="CS32"/>
  <c r="BP32"/>
  <c r="BN32"/>
  <c r="BN72"/>
  <c r="BL32"/>
  <c r="BJ32"/>
  <c r="BJ72"/>
  <c r="BH32"/>
  <c r="BF32"/>
  <c r="BF72"/>
  <c r="BD32"/>
  <c r="BB32"/>
  <c r="BB72"/>
  <c r="AZ32"/>
  <c r="AX32"/>
  <c r="AX72"/>
  <c r="AV32"/>
  <c r="AT32"/>
  <c r="AT72"/>
  <c r="AO32"/>
  <c r="AM32"/>
  <c r="AM72"/>
  <c r="AK32"/>
  <c r="AI32"/>
  <c r="AI72"/>
  <c r="AG32"/>
  <c r="AE32"/>
  <c r="AE72"/>
  <c r="AC32"/>
  <c r="AA32"/>
  <c r="AA72"/>
  <c r="Y32"/>
  <c r="W32"/>
  <c r="W72"/>
  <c r="U32"/>
  <c r="T32"/>
  <c r="S32"/>
  <c r="O32"/>
  <c r="K32"/>
  <c r="CS31"/>
  <c r="BQ31"/>
  <c r="AP31"/>
  <c r="T31"/>
  <c r="O31"/>
  <c r="K31"/>
  <c r="CS25"/>
  <c r="BQ25"/>
  <c r="AP25"/>
  <c r="CR24"/>
  <c r="CP24"/>
  <c r="CP75"/>
  <c r="CN24"/>
  <c r="CL24"/>
  <c r="CL75"/>
  <c r="CJ24"/>
  <c r="CH24"/>
  <c r="CH75"/>
  <c r="CD24"/>
  <c r="CA24"/>
  <c r="CA75"/>
  <c r="CA76"/>
  <c r="BZ24"/>
  <c r="BY24"/>
  <c r="BY75"/>
  <c r="BY76"/>
  <c r="BX24"/>
  <c r="BV24"/>
  <c r="BU24"/>
  <c r="BP24"/>
  <c r="BN24"/>
  <c r="BL24"/>
  <c r="BJ24"/>
  <c r="BH24"/>
  <c r="BF24"/>
  <c r="BB24"/>
  <c r="BB75"/>
  <c r="AY24"/>
  <c r="AX24"/>
  <c r="AX75"/>
  <c r="AW24"/>
  <c r="AT24"/>
  <c r="AS24"/>
  <c r="AO24"/>
  <c r="AM24"/>
  <c r="AK24"/>
  <c r="AI24"/>
  <c r="AG24"/>
  <c r="AE24"/>
  <c r="AA24"/>
  <c r="AA75"/>
  <c r="Y24"/>
  <c r="X24"/>
  <c r="X75"/>
  <c r="W24"/>
  <c r="V24"/>
  <c r="V75"/>
  <c r="U24"/>
  <c r="T24"/>
  <c r="S24"/>
  <c r="R24"/>
  <c r="N24"/>
  <c r="M24"/>
  <c r="M75"/>
  <c r="L24"/>
  <c r="K24"/>
  <c r="J24"/>
  <c r="I24"/>
  <c r="I75"/>
  <c r="H24"/>
  <c r="G24"/>
  <c r="G75"/>
  <c r="F24"/>
  <c r="E24"/>
  <c r="E75"/>
  <c r="D24"/>
  <c r="C24"/>
  <c r="C75"/>
  <c r="C76"/>
  <c r="B24"/>
  <c r="CS19"/>
  <c r="BQ19"/>
  <c r="AP19"/>
  <c r="O19"/>
  <c r="CS18"/>
  <c r="BQ18"/>
  <c r="AP18"/>
  <c r="O18"/>
  <c r="CS17"/>
  <c r="AV17"/>
  <c r="BQ17"/>
  <c r="AP17"/>
  <c r="O17"/>
  <c r="CS16"/>
  <c r="BQ16"/>
  <c r="AP16"/>
  <c r="O16"/>
  <c r="CS15"/>
  <c r="BQ15"/>
  <c r="AP15"/>
  <c r="O15"/>
  <c r="BQ14"/>
  <c r="O14"/>
  <c r="CS13"/>
  <c r="BQ13"/>
  <c r="AP13"/>
  <c r="O13"/>
  <c r="CS12"/>
  <c r="BQ12"/>
  <c r="AP12"/>
  <c r="O12"/>
  <c r="CS11"/>
  <c r="BQ11"/>
  <c r="AP11"/>
  <c r="O11"/>
  <c r="CF10"/>
  <c r="CF24"/>
  <c r="CF75"/>
  <c r="CB10"/>
  <c r="CB24"/>
  <c r="BD10"/>
  <c r="BD24"/>
  <c r="AZ10"/>
  <c r="AZ24"/>
  <c r="AP10"/>
  <c r="AC10"/>
  <c r="AC24"/>
  <c r="O10"/>
  <c r="CS9"/>
  <c r="BQ9"/>
  <c r="AP9"/>
  <c r="O9"/>
  <c r="CS8"/>
  <c r="BQ8"/>
  <c r="AP8"/>
  <c r="O8"/>
  <c r="O24"/>
  <c r="D40" i="19"/>
  <c r="G38"/>
  <c r="G36"/>
  <c r="G34"/>
  <c r="D31"/>
  <c r="D29"/>
  <c r="D28"/>
  <c r="G28"/>
  <c r="D26"/>
  <c r="D24"/>
  <c r="D23"/>
  <c r="D22"/>
  <c r="D21"/>
  <c r="D20"/>
  <c r="D19"/>
  <c r="D18"/>
  <c r="D17"/>
  <c r="D16"/>
  <c r="D15"/>
  <c r="D14"/>
  <c r="D13"/>
  <c r="D12"/>
  <c r="D10"/>
  <c r="D9"/>
  <c r="D8"/>
  <c r="G7"/>
  <c r="D7"/>
  <c r="D6"/>
  <c r="G5"/>
  <c r="G44"/>
  <c r="H5"/>
  <c r="D5"/>
  <c r="D44"/>
  <c r="D40" i="20"/>
  <c r="G38"/>
  <c r="G36"/>
  <c r="D31"/>
  <c r="D28"/>
  <c r="D29"/>
  <c r="G28"/>
  <c r="D21"/>
  <c r="D18"/>
  <c r="D13"/>
  <c r="D10"/>
  <c r="D8"/>
  <c r="G7"/>
  <c r="D7"/>
  <c r="D5"/>
  <c r="D6"/>
  <c r="G5"/>
  <c r="G44"/>
  <c r="F46" i="8"/>
  <c r="D39"/>
  <c r="G37"/>
  <c r="G27"/>
  <c r="D27"/>
  <c r="D20"/>
  <c r="D18"/>
  <c r="D14"/>
  <c r="D13"/>
  <c r="D8"/>
  <c r="D7"/>
  <c r="D6"/>
  <c r="G5"/>
  <c r="D48"/>
  <c r="D50"/>
  <c r="L75" i="16"/>
  <c r="N75"/>
  <c r="AW75"/>
  <c r="AW76"/>
  <c r="AY75"/>
  <c r="AY76"/>
  <c r="BZ75"/>
  <c r="CJ75"/>
  <c r="U72"/>
  <c r="U75"/>
  <c r="AG72"/>
  <c r="AG75"/>
  <c r="AO72"/>
  <c r="AO75"/>
  <c r="CN72"/>
  <c r="AS72"/>
  <c r="AC87"/>
  <c r="AI88"/>
  <c r="AP58"/>
  <c r="BQ58"/>
  <c r="AP59"/>
  <c r="O72"/>
  <c r="CB75"/>
  <c r="D75"/>
  <c r="F75"/>
  <c r="H75"/>
  <c r="J75"/>
  <c r="W75"/>
  <c r="AE75"/>
  <c r="AI75"/>
  <c r="AM75"/>
  <c r="BF75"/>
  <c r="BJ75"/>
  <c r="BN75"/>
  <c r="BX75"/>
  <c r="CD75"/>
  <c r="CN75"/>
  <c r="CR75"/>
  <c r="K72"/>
  <c r="K75"/>
  <c r="T72"/>
  <c r="T75"/>
  <c r="T76"/>
  <c r="S72"/>
  <c r="S75"/>
  <c r="S76"/>
  <c r="Y72"/>
  <c r="Y75"/>
  <c r="AC72"/>
  <c r="AC75"/>
  <c r="AK72"/>
  <c r="AK75"/>
  <c r="AV72"/>
  <c r="AZ72"/>
  <c r="AZ75"/>
  <c r="BD72"/>
  <c r="BD75"/>
  <c r="BH72"/>
  <c r="BH75"/>
  <c r="BL72"/>
  <c r="BL75"/>
  <c r="BP72"/>
  <c r="BP75"/>
  <c r="AP38"/>
  <c r="BV72"/>
  <c r="BV75"/>
  <c r="AP39"/>
  <c r="R72"/>
  <c r="AE87"/>
  <c r="AI87"/>
  <c r="D76"/>
  <c r="E76"/>
  <c r="F76"/>
  <c r="G76"/>
  <c r="H76"/>
  <c r="I76"/>
  <c r="O73"/>
  <c r="BQ10"/>
  <c r="BR24"/>
  <c r="AV24"/>
  <c r="AV75"/>
  <c r="CS24"/>
  <c r="AP32"/>
  <c r="AP72"/>
  <c r="AT75"/>
  <c r="CS10"/>
  <c r="AP24"/>
  <c r="BQ32"/>
  <c r="BQ73"/>
  <c r="CS34"/>
  <c r="CS38"/>
  <c r="H28" i="19"/>
  <c r="H38"/>
  <c r="D44" i="20"/>
  <c r="D17"/>
  <c r="H28"/>
  <c r="H38"/>
  <c r="H5"/>
  <c r="D5" i="8"/>
  <c r="D10"/>
  <c r="D43"/>
  <c r="D45"/>
  <c r="D47"/>
  <c r="G43"/>
  <c r="H5"/>
  <c r="CS72" i="16"/>
  <c r="BQ72"/>
  <c r="BR73"/>
  <c r="V76"/>
  <c r="U76"/>
  <c r="BQ24"/>
  <c r="BR25"/>
  <c r="J76"/>
  <c r="K76"/>
  <c r="L76"/>
  <c r="M76"/>
  <c r="I79"/>
  <c r="J79"/>
  <c r="K79"/>
  <c r="L79"/>
  <c r="M79"/>
  <c r="H37" i="8"/>
  <c r="H27"/>
  <c r="W76" i="16"/>
  <c r="Y76"/>
  <c r="AA76"/>
  <c r="AC76"/>
  <c r="AE76"/>
  <c r="AG76"/>
  <c r="AI76"/>
  <c r="AK76"/>
  <c r="AM76"/>
  <c r="AO76"/>
  <c r="AT76"/>
  <c r="AV76"/>
  <c r="AX76"/>
  <c r="AZ76"/>
  <c r="BB76"/>
  <c r="BD76"/>
  <c r="BF76"/>
  <c r="BH76"/>
  <c r="BJ76"/>
  <c r="BL76"/>
  <c r="BN76"/>
  <c r="BP76"/>
  <c r="BV76"/>
  <c r="BX76"/>
  <c r="BZ76"/>
  <c r="CB76"/>
  <c r="CD76"/>
  <c r="CF76"/>
  <c r="CH76"/>
  <c r="CJ76"/>
  <c r="CL76"/>
  <c r="CN76"/>
  <c r="CP76"/>
  <c r="CR76"/>
  <c r="X76"/>
  <c r="CB7" i="6"/>
  <c r="CB6"/>
  <c r="CB5"/>
  <c r="CB4"/>
  <c r="CB3"/>
  <c r="BU16"/>
  <c r="BY21"/>
  <c r="BY20"/>
  <c r="BY19"/>
  <c r="BY18"/>
  <c r="BY17"/>
  <c r="BY16"/>
  <c r="BY15"/>
  <c r="BY14"/>
  <c r="BY13"/>
  <c r="BY12"/>
  <c r="BY11"/>
  <c r="BY10"/>
  <c r="BY9"/>
  <c r="BY8"/>
  <c r="BY7"/>
  <c r="BY6"/>
  <c r="BY5"/>
  <c r="BY4"/>
  <c r="BY3"/>
  <c r="BV21"/>
  <c r="BU21"/>
  <c r="BV20"/>
  <c r="BU20"/>
  <c r="BV19"/>
  <c r="BU19"/>
  <c r="BV18"/>
  <c r="BU18"/>
  <c r="BV17"/>
  <c r="BU17"/>
  <c r="BV16"/>
  <c r="BV15"/>
  <c r="BU15"/>
  <c r="BV14"/>
  <c r="BU14"/>
  <c r="BV13"/>
  <c r="BU13"/>
  <c r="BV12"/>
  <c r="BU12"/>
  <c r="BV11"/>
  <c r="BU11"/>
  <c r="BV10"/>
  <c r="BU10"/>
  <c r="BV9"/>
  <c r="BU9"/>
  <c r="BV8"/>
  <c r="BU8"/>
  <c r="BV7"/>
  <c r="BU7"/>
  <c r="BV6"/>
  <c r="BU6"/>
  <c r="BV5"/>
  <c r="BU5"/>
  <c r="BV4"/>
  <c r="BU4"/>
  <c r="BV3"/>
  <c r="BU3"/>
  <c r="BN21"/>
  <c r="BN20"/>
  <c r="BN19"/>
  <c r="BN18"/>
  <c r="BN17"/>
  <c r="BN16"/>
  <c r="BN15"/>
  <c r="BN14"/>
  <c r="BN13"/>
  <c r="BN12"/>
  <c r="BN11"/>
  <c r="BN10"/>
  <c r="BN9"/>
  <c r="BN8"/>
  <c r="BN7"/>
  <c r="BN6"/>
  <c r="BN5"/>
  <c r="BN4"/>
  <c r="BN3"/>
  <c r="BK21"/>
  <c r="BK20"/>
  <c r="BK19"/>
  <c r="BK18"/>
  <c r="BK17"/>
  <c r="BK16"/>
  <c r="BK15"/>
  <c r="BK14"/>
  <c r="BK13"/>
  <c r="BK12"/>
  <c r="BK11"/>
  <c r="BK10"/>
  <c r="BK9"/>
  <c r="BK8"/>
  <c r="BK7"/>
  <c r="BK6"/>
  <c r="BK5"/>
  <c r="BK4"/>
  <c r="BK3"/>
  <c r="BH21"/>
  <c r="BH20"/>
  <c r="BH19"/>
  <c r="BH18"/>
  <c r="BH17"/>
  <c r="BH16"/>
  <c r="BH15"/>
  <c r="BH14"/>
  <c r="BH13"/>
  <c r="BH12"/>
  <c r="BH11"/>
  <c r="BH10"/>
  <c r="BH9"/>
  <c r="BH8"/>
  <c r="BH7"/>
  <c r="BH6"/>
  <c r="BH5"/>
  <c r="BH4"/>
  <c r="BH3"/>
  <c r="BE21"/>
  <c r="BE20"/>
  <c r="BE19"/>
  <c r="BE18"/>
  <c r="BE17"/>
  <c r="BE16"/>
  <c r="BE15"/>
  <c r="BE14"/>
  <c r="BE13"/>
  <c r="BE12"/>
  <c r="BE11"/>
  <c r="BE10"/>
  <c r="BE9"/>
  <c r="BE8"/>
  <c r="BE7"/>
  <c r="BE6"/>
  <c r="BE5"/>
  <c r="BE4"/>
  <c r="BE3"/>
  <c r="BB21"/>
  <c r="BB20"/>
  <c r="BB19"/>
  <c r="BB18"/>
  <c r="BB17"/>
  <c r="BB16"/>
  <c r="BB15"/>
  <c r="BB14"/>
  <c r="BB13"/>
  <c r="BB12"/>
  <c r="BB11"/>
  <c r="BB10"/>
  <c r="BB9"/>
  <c r="BB8"/>
  <c r="BB7"/>
  <c r="BB6"/>
  <c r="BB5"/>
  <c r="BB4"/>
  <c r="BB3"/>
  <c r="AY21"/>
  <c r="AY20"/>
  <c r="AY19"/>
  <c r="AY18"/>
  <c r="AY17"/>
  <c r="AY16"/>
  <c r="AY15"/>
  <c r="AY14"/>
  <c r="AY13"/>
  <c r="AY12"/>
  <c r="AY11"/>
  <c r="AY10"/>
  <c r="AY9"/>
  <c r="AY8"/>
  <c r="AY7"/>
  <c r="AY6"/>
  <c r="AY5"/>
  <c r="AY4"/>
  <c r="AY3"/>
  <c r="AV21"/>
  <c r="AV20"/>
  <c r="AV19"/>
  <c r="AV18"/>
  <c r="AV17"/>
  <c r="AV16"/>
  <c r="AV15"/>
  <c r="AV14"/>
  <c r="AV13"/>
  <c r="AV12"/>
  <c r="AV11"/>
  <c r="AV10"/>
  <c r="AV9"/>
  <c r="AV8"/>
  <c r="AV7"/>
  <c r="AV6"/>
  <c r="AV5"/>
  <c r="AV4"/>
  <c r="AV3"/>
  <c r="AS21"/>
  <c r="AS20"/>
  <c r="AS19"/>
  <c r="AS18"/>
  <c r="AS17"/>
  <c r="AS16"/>
  <c r="AS15"/>
  <c r="AS14"/>
  <c r="AS13"/>
  <c r="AS12"/>
  <c r="AS11"/>
  <c r="AS10"/>
  <c r="AS9"/>
  <c r="AS8"/>
  <c r="AS7"/>
  <c r="AS6"/>
  <c r="AS5"/>
  <c r="AS4"/>
  <c r="AS3"/>
  <c r="AP21"/>
  <c r="AP20"/>
  <c r="AP19"/>
  <c r="AP18"/>
  <c r="AP17"/>
  <c r="AP16"/>
  <c r="AP15"/>
  <c r="AP14"/>
  <c r="AP13"/>
  <c r="AP12"/>
  <c r="AP11"/>
  <c r="AP10"/>
  <c r="AP9"/>
  <c r="AP8"/>
  <c r="AP7"/>
  <c r="AP6"/>
  <c r="AP5"/>
  <c r="AP4"/>
  <c r="AP3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M4"/>
  <c r="AM3"/>
  <c r="AJ21"/>
  <c r="AJ20"/>
  <c r="AJ19"/>
  <c r="AJ18"/>
  <c r="AJ17"/>
  <c r="AJ16"/>
  <c r="AJ15"/>
  <c r="AJ14"/>
  <c r="AJ13"/>
  <c r="AJ12"/>
  <c r="AJ11"/>
  <c r="AJ10"/>
  <c r="AJ9"/>
  <c r="AJ8"/>
  <c r="AJ7"/>
  <c r="AJ6"/>
  <c r="AJ5"/>
  <c r="AJ4"/>
  <c r="AJ3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G4"/>
  <c r="AG3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4"/>
  <c r="AD3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AA3"/>
  <c r="X21"/>
  <c r="X20"/>
  <c r="X19"/>
  <c r="X18"/>
  <c r="X17"/>
  <c r="X16"/>
  <c r="X15"/>
  <c r="X14"/>
  <c r="X13"/>
  <c r="X12"/>
  <c r="X11"/>
  <c r="X10"/>
  <c r="X9"/>
  <c r="X8"/>
  <c r="X7"/>
  <c r="X6"/>
  <c r="X5"/>
  <c r="X4"/>
  <c r="X3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BN1"/>
  <c r="BK1"/>
  <c r="BH1"/>
  <c r="BE1"/>
  <c r="BB1"/>
  <c r="AY1"/>
  <c r="AV1"/>
  <c r="AS1"/>
  <c r="AP1"/>
  <c r="AM1"/>
  <c r="AJ1"/>
  <c r="AG1"/>
  <c r="AD1"/>
  <c r="AA1"/>
  <c r="X1"/>
  <c r="U1"/>
  <c r="R1"/>
  <c r="O1"/>
  <c r="L1"/>
  <c r="I1"/>
  <c r="F1"/>
  <c r="C1"/>
  <c r="A21"/>
  <c r="BR21" s="1"/>
  <c r="A20"/>
  <c r="BR20" s="1"/>
  <c r="A19"/>
  <c r="BR19" s="1"/>
  <c r="A18"/>
  <c r="BR18" s="1"/>
  <c r="A17"/>
  <c r="BR17" s="1"/>
  <c r="A16"/>
  <c r="BR16" s="1"/>
  <c r="A15"/>
  <c r="BR15" s="1"/>
  <c r="A14"/>
  <c r="BR14" s="1"/>
  <c r="A13"/>
  <c r="BR13" s="1"/>
  <c r="A12"/>
  <c r="BR12" s="1"/>
  <c r="A11"/>
  <c r="BR11" s="1"/>
  <c r="A10"/>
  <c r="BR10" s="1"/>
  <c r="A9"/>
  <c r="BR9" s="1"/>
  <c r="A8"/>
  <c r="BR8" s="1"/>
  <c r="A7"/>
  <c r="BR7" s="1"/>
  <c r="A6"/>
  <c r="BR6" s="1"/>
  <c r="A5"/>
  <c r="BR5" s="1"/>
  <c r="A4"/>
  <c r="BR4" s="1"/>
  <c r="A3"/>
  <c r="BR3" s="1"/>
  <c r="BP22"/>
  <c r="BO22"/>
  <c r="BM22"/>
  <c r="BL22"/>
  <c r="BJ22"/>
  <c r="BI22"/>
  <c r="BG22"/>
  <c r="BF22"/>
  <c r="BD22"/>
  <c r="BC22"/>
  <c r="BA22"/>
  <c r="AZ22"/>
  <c r="AX22"/>
  <c r="AW22"/>
  <c r="AU22"/>
  <c r="AT22"/>
  <c r="AR22"/>
  <c r="AQ22"/>
  <c r="AO22"/>
  <c r="AN22"/>
  <c r="AL22"/>
  <c r="AK22"/>
  <c r="AI22"/>
  <c r="AH22"/>
  <c r="AF22"/>
  <c r="AE22"/>
  <c r="AC22"/>
  <c r="AB22"/>
  <c r="Z22"/>
  <c r="Y22"/>
  <c r="W22"/>
  <c r="V22"/>
  <c r="T22"/>
  <c r="S22"/>
  <c r="Q22"/>
  <c r="P22"/>
  <c r="N22"/>
  <c r="M22"/>
  <c r="K22"/>
  <c r="J22"/>
  <c r="H22"/>
  <c r="G22"/>
  <c r="E22"/>
  <c r="D22"/>
  <c r="BP3" i="4"/>
  <c r="BO3"/>
  <c r="BN3"/>
  <c r="BM3"/>
  <c r="BL3"/>
  <c r="BK3"/>
  <c r="BJ3"/>
  <c r="BI3"/>
  <c r="BH3"/>
  <c r="BG3"/>
  <c r="BF3"/>
  <c r="BE3"/>
  <c r="BD3"/>
  <c r="BC3"/>
  <c r="BB3"/>
  <c r="BA3"/>
  <c r="AZ3"/>
  <c r="AY3"/>
  <c r="AX3"/>
  <c r="AW3"/>
  <c r="AV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BQ22"/>
  <c r="BQ21"/>
  <c r="BQ20"/>
  <c r="BQ19"/>
  <c r="BQ18"/>
  <c r="BQ17"/>
  <c r="BQ16"/>
  <c r="BQ15"/>
  <c r="BQ14"/>
  <c r="BQ13"/>
  <c r="BQ12"/>
  <c r="BQ11"/>
  <c r="BQ10"/>
  <c r="BQ9"/>
  <c r="BQ8"/>
  <c r="BQ7"/>
  <c r="BQ6"/>
  <c r="BQ5"/>
  <c r="BQ4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E3"/>
  <c r="D3"/>
  <c r="C3"/>
  <c r="B22"/>
  <c r="B21" i="6" s="1"/>
  <c r="BS21" s="1"/>
  <c r="B21" i="4"/>
  <c r="B20" i="6" s="1"/>
  <c r="BS20" s="1"/>
  <c r="B20" i="4"/>
  <c r="B19" i="6" s="1"/>
  <c r="BS19" s="1"/>
  <c r="B19" i="4"/>
  <c r="B18" i="6" s="1"/>
  <c r="BS18" s="1"/>
  <c r="B18" i="4"/>
  <c r="B17" i="6" s="1"/>
  <c r="BS17" s="1"/>
  <c r="B17" i="4"/>
  <c r="B16" i="6" s="1"/>
  <c r="BS16" s="1"/>
  <c r="B16" i="4"/>
  <c r="B15" i="6" s="1"/>
  <c r="BS15" s="1"/>
  <c r="B15" i="4"/>
  <c r="B14" i="6" s="1"/>
  <c r="BS14" s="1"/>
  <c r="B14" i="4"/>
  <c r="B13" i="6" s="1"/>
  <c r="BS13" s="1"/>
  <c r="B13" i="4"/>
  <c r="B12" i="6" s="1"/>
  <c r="BS12" s="1"/>
  <c r="B12" i="4"/>
  <c r="B11" i="6" s="1"/>
  <c r="BS11" s="1"/>
  <c r="B11" i="4"/>
  <c r="B10" i="6" s="1"/>
  <c r="BS10" s="1"/>
  <c r="B10" i="4"/>
  <c r="B9" i="6" s="1"/>
  <c r="BS9" s="1"/>
  <c r="B9" i="4"/>
  <c r="B8" i="6" s="1"/>
  <c r="BS8" s="1"/>
  <c r="B8" i="4"/>
  <c r="B7" i="6" s="1"/>
  <c r="BS7" s="1"/>
  <c r="B7" i="4"/>
  <c r="B6" i="6" s="1"/>
  <c r="BS6" s="1"/>
  <c r="B6" i="4"/>
  <c r="B5" i="6" s="1"/>
  <c r="BS5" s="1"/>
  <c r="B5" i="4"/>
  <c r="B4" i="6" s="1"/>
  <c r="BS4" s="1"/>
  <c r="B4" i="4"/>
  <c r="B3" i="6" s="1"/>
  <c r="BS3" s="1"/>
  <c r="BV22"/>
  <c r="BU22"/>
  <c r="F8" i="14"/>
  <c r="I12"/>
  <c r="J12"/>
  <c r="F22"/>
  <c r="I22"/>
  <c r="M22"/>
  <c r="I21"/>
  <c r="J20"/>
  <c r="J21"/>
  <c r="C41"/>
  <c r="C43"/>
  <c r="D43"/>
  <c r="E43"/>
  <c r="C47"/>
  <c r="D47"/>
  <c r="E47"/>
  <c r="A55"/>
  <c r="C62"/>
  <c r="I27"/>
  <c r="B62"/>
  <c r="B65"/>
  <c r="I14"/>
  <c r="F37"/>
  <c r="K26"/>
  <c r="L26"/>
  <c r="K27"/>
  <c r="J22"/>
  <c r="F26"/>
  <c r="C42"/>
  <c r="D42"/>
  <c r="E42"/>
  <c r="J23"/>
  <c r="M23"/>
  <c r="B42"/>
  <c r="J26"/>
  <c r="B67"/>
  <c r="M29"/>
  <c r="B47"/>
  <c r="E55"/>
  <c r="B46"/>
  <c r="I32"/>
  <c r="J29"/>
  <c r="F23"/>
  <c r="I25"/>
  <c r="J25"/>
  <c r="F43"/>
  <c r="L27"/>
  <c r="G43"/>
  <c r="K23"/>
  <c r="L23"/>
  <c r="K24"/>
  <c r="L24"/>
  <c r="K25"/>
  <c r="L25"/>
  <c r="K29"/>
  <c r="K33"/>
  <c r="F42"/>
  <c r="G62"/>
  <c r="G65"/>
  <c r="G68"/>
  <c r="G42"/>
  <c r="F29"/>
  <c r="I24"/>
  <c r="J24"/>
  <c r="G41"/>
  <c r="I41"/>
  <c r="A51"/>
  <c r="J56"/>
  <c r="B55"/>
  <c r="B56"/>
  <c r="B43"/>
  <c r="M14"/>
  <c r="B71"/>
  <c r="F62"/>
  <c r="J58"/>
  <c r="F41"/>
  <c r="C65"/>
  <c r="D62"/>
  <c r="C44"/>
  <c r="D41"/>
  <c r="J27"/>
  <c r="B41"/>
  <c r="I43"/>
  <c r="J14"/>
  <c r="G35"/>
  <c r="D55"/>
  <c r="F32"/>
  <c r="C46"/>
  <c r="D46"/>
  <c r="C67"/>
  <c r="D67"/>
  <c r="F47"/>
  <c r="G47"/>
  <c r="M30"/>
  <c r="L29"/>
  <c r="F46"/>
  <c r="G46"/>
  <c r="E56"/>
  <c r="G44"/>
  <c r="G49"/>
  <c r="D44"/>
  <c r="D45"/>
  <c r="E41"/>
  <c r="E44"/>
  <c r="D65"/>
  <c r="D66"/>
  <c r="E62"/>
  <c r="E65"/>
  <c r="B44"/>
  <c r="E46"/>
  <c r="D49"/>
  <c r="D68"/>
  <c r="E67"/>
  <c r="D50"/>
  <c r="BQ46" i="4" l="1"/>
  <c r="BQ23"/>
  <c r="AA22" i="6"/>
  <c r="AY22"/>
  <c r="BT14"/>
  <c r="BW14" s="1"/>
  <c r="BZ14" s="1"/>
  <c r="AP22"/>
  <c r="BT13"/>
  <c r="BW13" s="1"/>
  <c r="BZ13" s="1"/>
  <c r="AG22"/>
  <c r="AS22"/>
  <c r="BE22"/>
  <c r="AD22"/>
  <c r="BT16"/>
  <c r="BW16" s="1"/>
  <c r="BZ16" s="1"/>
  <c r="BT5"/>
  <c r="BW5" s="1"/>
  <c r="BZ5" s="1"/>
  <c r="L22"/>
  <c r="BT12"/>
  <c r="BW12" s="1"/>
  <c r="BZ12" s="1"/>
  <c r="AV22"/>
  <c r="BT8"/>
  <c r="BW8" s="1"/>
  <c r="BZ8" s="1"/>
  <c r="F22"/>
  <c r="R22"/>
  <c r="AJ22"/>
  <c r="U22"/>
  <c r="AM22"/>
  <c r="BB22"/>
  <c r="BT11"/>
  <c r="BW11" s="1"/>
  <c r="BZ11" s="1"/>
  <c r="BN22"/>
  <c r="BT15"/>
  <c r="BW15" s="1"/>
  <c r="BZ15" s="1"/>
  <c r="BT4"/>
  <c r="BW4" s="1"/>
  <c r="BZ4" s="1"/>
  <c r="I22"/>
  <c r="BT9"/>
  <c r="BW9" s="1"/>
  <c r="BZ9" s="1"/>
  <c r="O22"/>
  <c r="BT6"/>
  <c r="BW6" s="1"/>
  <c r="BZ6" s="1"/>
  <c r="BH22"/>
  <c r="BK22"/>
  <c r="BT7"/>
  <c r="BW7" s="1"/>
  <c r="BZ7" s="1"/>
  <c r="BT19"/>
  <c r="BW19" s="1"/>
  <c r="BZ19" s="1"/>
  <c r="BT20"/>
  <c r="BW20" s="1"/>
  <c r="BZ20" s="1"/>
  <c r="BT3"/>
  <c r="X22"/>
  <c r="C22"/>
  <c r="BT10"/>
  <c r="BW10" s="1"/>
  <c r="BZ10" s="1"/>
  <c r="BT18"/>
  <c r="BW18" s="1"/>
  <c r="BZ18" s="1"/>
  <c r="BT17"/>
  <c r="BW17" s="1"/>
  <c r="BZ17" s="1"/>
  <c r="BT21"/>
  <c r="BW21" s="1"/>
  <c r="BZ21" s="1"/>
  <c r="BT22" l="1"/>
  <c r="BW3"/>
  <c r="BZ3" l="1"/>
  <c r="BZ22" s="1"/>
  <c r="BW22"/>
</calcChain>
</file>

<file path=xl/comments1.xml><?xml version="1.0" encoding="utf-8"?>
<comments xmlns="http://schemas.openxmlformats.org/spreadsheetml/2006/main">
  <authors>
    <author>Patrice Chauveau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Patrice Chauveau:</t>
        </r>
        <r>
          <rPr>
            <sz val="9"/>
            <color indexed="81"/>
            <rFont val="Tahoma"/>
            <charset val="1"/>
          </rPr>
          <t xml:space="preserve">
Dans cette configuration, il est possible d'avoir 3 clients par jour maximum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Patrice Chauveau:</t>
        </r>
        <r>
          <rPr>
            <sz val="9"/>
            <color indexed="81"/>
            <rFont val="Tahoma"/>
            <family val="2"/>
          </rPr>
          <t xml:space="preserve">
Nombre d'heures effectuées par le salarié pour le chantier concerné</t>
        </r>
      </text>
    </comment>
    <comment ref="A25" authorId="0">
      <text>
        <r>
          <rPr>
            <b/>
            <sz val="9"/>
            <color indexed="81"/>
            <rFont val="Tahoma"/>
            <charset val="1"/>
          </rPr>
          <t>Patrice Chauveau:</t>
        </r>
        <r>
          <rPr>
            <sz val="9"/>
            <color indexed="81"/>
            <rFont val="Tahoma"/>
            <charset val="1"/>
          </rPr>
          <t xml:space="preserve">
Dans cette configuration, il est possible d'avoir 3 clients par jour maximum</t>
        </r>
      </text>
    </comment>
  </commentList>
</comments>
</file>

<file path=xl/comments2.xml><?xml version="1.0" encoding="utf-8"?>
<comments xmlns="http://schemas.openxmlformats.org/spreadsheetml/2006/main">
  <authors>
    <author>Patr</author>
  </authors>
  <commentList>
    <comment ref="BX3" authorId="0">
      <text>
        <r>
          <rPr>
            <b/>
            <sz val="9"/>
            <color indexed="81"/>
            <rFont val="Tahoma"/>
            <family val="2"/>
          </rPr>
          <t xml:space="preserve">Patr:
</t>
        </r>
        <r>
          <rPr>
            <sz val="12"/>
            <color indexed="81"/>
            <rFont val="Arial"/>
            <family val="2"/>
          </rPr>
          <t xml:space="preserve">En lien avec les cellules
</t>
        </r>
        <r>
          <rPr>
            <b/>
            <sz val="12"/>
            <color indexed="81"/>
            <rFont val="Arial"/>
            <family val="2"/>
          </rPr>
          <t>I2</t>
        </r>
        <r>
          <rPr>
            <sz val="12"/>
            <color indexed="81"/>
            <rFont val="Arial"/>
            <family val="2"/>
          </rPr>
          <t xml:space="preserve">, </t>
        </r>
        <r>
          <rPr>
            <b/>
            <sz val="12"/>
            <color indexed="81"/>
            <rFont val="Arial"/>
            <family val="2"/>
          </rPr>
          <t>L2</t>
        </r>
        <r>
          <rPr>
            <sz val="12"/>
            <color indexed="81"/>
            <rFont val="Arial"/>
            <family val="2"/>
          </rPr>
          <t xml:space="preserve">, </t>
        </r>
        <r>
          <rPr>
            <b/>
            <sz val="12"/>
            <color indexed="81"/>
            <rFont val="Arial"/>
            <family val="2"/>
          </rPr>
          <t>N2</t>
        </r>
        <r>
          <rPr>
            <sz val="12"/>
            <color indexed="81"/>
            <rFont val="Arial"/>
            <family val="2"/>
          </rPr>
          <t xml:space="preserve">
de la feuille
</t>
        </r>
        <r>
          <rPr>
            <b/>
            <sz val="12"/>
            <color indexed="81"/>
            <rFont val="Arial"/>
            <family val="2"/>
          </rPr>
          <t xml:space="preserve">
'Base de Données Générale'!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6" authorId="0">
      <text>
        <r>
          <rPr>
            <sz val="8"/>
            <color indexed="8"/>
            <rFont val="Tahoma"/>
            <family val="2"/>
          </rPr>
          <t xml:space="preserve">Base 2010 soit 12% des ventes de prestations
</t>
        </r>
      </text>
    </comment>
    <comment ref="G6" authorId="0">
      <text>
        <r>
          <rPr>
            <b/>
            <sz val="8"/>
            <color indexed="8"/>
            <rFont val="Tahoma"/>
            <family val="2"/>
          </rPr>
          <t xml:space="preserve">36 K€ de CA 2010 x 2 x 1,45 (hausse d'activité) 
</t>
        </r>
      </text>
    </comment>
    <comment ref="D7" authorId="0">
      <text>
        <r>
          <rPr>
            <sz val="8"/>
            <color indexed="8"/>
            <rFont val="Tahoma"/>
            <family val="2"/>
          </rPr>
          <t xml:space="preserve">EDF : 5 kW x 200 j x 0,35 € + abt 30 € x 12 mois
EAU : 10 € x 12 mois
</t>
        </r>
      </text>
    </comment>
    <comment ref="G7" authorId="0">
      <text>
        <r>
          <rPr>
            <b/>
            <sz val="8"/>
            <color indexed="8"/>
            <rFont val="Tahoma"/>
            <family val="2"/>
          </rPr>
          <t xml:space="preserve">6
 mois x 12h/S x 20€/h
</t>
        </r>
      </text>
    </comment>
    <comment ref="D8" authorId="0">
      <text>
        <r>
          <rPr>
            <b/>
            <sz val="8"/>
            <color indexed="8"/>
            <rFont val="Tahoma"/>
            <family val="2"/>
          </rPr>
          <t>base 2010 : 550€ pour 6 mois + 40% hausse d'activité = 550 € x 2 x 1,4</t>
        </r>
      </text>
    </comment>
    <comment ref="D9" authorId="0">
      <text>
        <r>
          <rPr>
            <b/>
            <sz val="8"/>
            <color indexed="8"/>
            <rFont val="Tahoma"/>
            <family val="2"/>
          </rPr>
          <t xml:space="preserve">Consomation 2010 : 828€ pour 6 mois. Soit 828 x 2 x1,4 (hausse d'activité)
</t>
        </r>
      </text>
    </comment>
    <comment ref="D11" authorId="0">
      <text>
        <r>
          <rPr>
            <b/>
            <sz val="8"/>
            <color indexed="8"/>
            <rFont val="Tahoma"/>
            <family val="2"/>
          </rPr>
          <t>suivant plan de formation prévisionnel</t>
        </r>
      </text>
    </comment>
    <comment ref="D12" authorId="0">
      <text>
        <r>
          <rPr>
            <b/>
            <sz val="8"/>
            <color indexed="8"/>
            <rFont val="Tahoma"/>
            <family val="2"/>
          </rPr>
          <t xml:space="preserve">suivant contrat en cours
</t>
        </r>
      </text>
    </comment>
    <comment ref="D13" authorId="0">
      <text>
        <r>
          <rPr>
            <b/>
            <sz val="8"/>
            <color indexed="8"/>
            <rFont val="Tahoma"/>
            <family val="2"/>
          </rPr>
          <t>6 mois de location à 1050 € avant investissement</t>
        </r>
      </text>
    </comment>
    <comment ref="D14" authorId="0">
      <text>
        <r>
          <rPr>
            <b/>
            <sz val="8"/>
            <color indexed="8"/>
            <rFont val="Tahoma"/>
            <family val="2"/>
          </rPr>
          <t xml:space="preserve">40€ pendant 8 mois (prise en charge commune jusqu'en avril)
</t>
        </r>
      </text>
    </comment>
    <comment ref="D15" authorId="0">
      <text>
        <r>
          <rPr>
            <b/>
            <sz val="8"/>
            <color indexed="8"/>
            <rFont val="Tahoma"/>
            <family val="2"/>
          </rPr>
          <t>Location ponctuelle d'engin ou d'outils spécialisés :
200 € x 12 mois</t>
        </r>
      </text>
    </comment>
    <comment ref="D16" authorId="0">
      <text>
        <r>
          <rPr>
            <b/>
            <sz val="8"/>
            <color indexed="8"/>
            <rFont val="Tahoma"/>
            <family val="2"/>
          </rPr>
          <t xml:space="preserve">Frais de garage prévisionnels
</t>
        </r>
      </text>
    </comment>
    <comment ref="D17" authorId="0">
      <text>
        <r>
          <rPr>
            <b/>
            <sz val="8"/>
            <color indexed="8"/>
            <rFont val="Tahoma"/>
            <family val="2"/>
          </rPr>
          <t xml:space="preserve">500€ + 300 € pour 2 véhicules
</t>
        </r>
      </text>
    </comment>
    <comment ref="D19" authorId="0">
      <text>
        <r>
          <rPr>
            <b/>
            <sz val="8"/>
            <color indexed="8"/>
            <rFont val="Tahoma"/>
            <family val="2"/>
          </rPr>
          <t>Base 2010 soit 12 € par paye (96payes)+ 200 € mensuel pour la compta générale)</t>
        </r>
      </text>
    </comment>
    <comment ref="D20" authorId="0">
      <text>
        <r>
          <rPr>
            <b/>
            <sz val="8"/>
            <color indexed="8"/>
            <rFont val="Tahoma"/>
            <family val="2"/>
          </rPr>
          <t>2 repas en commun de 100 € + une viste à une autre Régie 500 €</t>
        </r>
      </text>
    </comment>
    <comment ref="D21" authorId="0">
      <text>
        <r>
          <rPr>
            <b/>
            <sz val="8"/>
            <color indexed="8"/>
            <rFont val="Tahoma"/>
            <family val="2"/>
          </rPr>
          <t>BASE 2010</t>
        </r>
      </text>
    </comment>
    <comment ref="D22" authorId="0">
      <text>
        <r>
          <rPr>
            <b/>
            <sz val="8"/>
            <color indexed="8"/>
            <rFont val="Tahoma"/>
            <family val="2"/>
          </rPr>
          <t xml:space="preserve">1 portable 12 mois x 15€
1 portable 6 mois x 15€
1 portable 12 mois 30€
</t>
        </r>
      </text>
    </comment>
    <comment ref="D23" authorId="0">
      <text>
        <r>
          <rPr>
            <b/>
            <sz val="8"/>
            <color indexed="8"/>
            <rFont val="Tahoma"/>
            <family val="2"/>
          </rPr>
          <t xml:space="preserve">suivant contrat
</t>
        </r>
      </text>
    </comment>
    <comment ref="D24" authorId="0">
      <text>
        <r>
          <rPr>
            <b/>
            <sz val="8"/>
            <color indexed="8"/>
            <rFont val="Tahoma"/>
            <family val="2"/>
          </rPr>
          <t>Forfait pour agrément</t>
        </r>
      </text>
    </comment>
    <comment ref="D25" authorId="0">
      <text>
        <r>
          <rPr>
            <b/>
            <sz val="8"/>
            <color indexed="8"/>
            <rFont val="Tahoma"/>
            <family val="2"/>
          </rPr>
          <t>Frais de gestion de compte et de virement divers</t>
        </r>
      </text>
    </comment>
    <comment ref="D26" authorId="0">
      <text>
        <r>
          <rPr>
            <b/>
            <sz val="8"/>
            <color indexed="8"/>
            <rFont val="Tahoma"/>
            <family val="2"/>
          </rPr>
          <t xml:space="preserve">Taxe sur les salaires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D28" authorId="0">
      <text>
        <r>
          <rPr>
            <b/>
            <sz val="8"/>
            <color indexed="8"/>
            <rFont val="Tahoma"/>
            <family val="2"/>
          </rPr>
          <t xml:space="preserve">4 CAE 2 mois + 5 CAE 3 mois + 6 CAE 7 mois
</t>
        </r>
      </text>
    </comment>
    <comment ref="G28" authorId="0">
      <text>
        <r>
          <rPr>
            <b/>
            <sz val="8"/>
            <color indexed="8"/>
            <rFont val="Tahoma"/>
            <family val="2"/>
          </rPr>
          <t xml:space="preserve">Suivant convention
</t>
        </r>
      </text>
    </comment>
    <comment ref="D29" authorId="0">
      <text>
        <r>
          <rPr>
            <sz val="10"/>
            <rFont val="Arial"/>
            <family val="2"/>
          </rPr>
          <t>1 encadrant à 2100€ brut + charges 43%</t>
        </r>
      </text>
    </comment>
    <comment ref="G29" authorId="0">
      <text>
        <r>
          <rPr>
            <b/>
            <sz val="8"/>
            <color indexed="8"/>
            <rFont val="Tahoma"/>
            <family val="2"/>
          </rPr>
          <t xml:space="preserve">Suivant taux d'encadrement
</t>
        </r>
      </text>
    </comment>
    <comment ref="D30" authorId="0">
      <text>
        <r>
          <rPr>
            <b/>
            <sz val="8"/>
            <color indexed="8"/>
            <rFont val="Tahoma"/>
            <family val="2"/>
          </rPr>
          <t xml:space="preserve">4 mois 26h par semaine
</t>
        </r>
      </text>
    </comment>
    <comment ref="G30" authorId="0">
      <text>
        <r>
          <rPr>
            <b/>
            <sz val="8"/>
            <color indexed="8"/>
            <rFont val="Tahoma"/>
            <family val="2"/>
          </rPr>
          <t xml:space="preserve">Suivant plan de formation
</t>
        </r>
      </text>
    </comment>
    <comment ref="D31" authorId="0">
      <text>
        <r>
          <rPr>
            <sz val="10"/>
            <rFont val="Arial"/>
            <family val="2"/>
          </rPr>
          <t>12 mois à 32h à 2200€ + 43% de charges</t>
        </r>
      </text>
    </comment>
    <comment ref="G31" authorId="0">
      <text>
        <r>
          <rPr>
            <b/>
            <sz val="8"/>
            <color indexed="8"/>
            <rFont val="Tahoma"/>
            <family val="2"/>
          </rPr>
          <t xml:space="preserve">50% de la demande de 15 k€
</t>
        </r>
      </text>
    </comment>
    <comment ref="D32" authorId="0">
      <text>
        <r>
          <rPr>
            <b/>
            <sz val="8"/>
            <color indexed="8"/>
            <rFont val="Tahoma"/>
            <family val="2"/>
          </rPr>
          <t>Aider : 670€ x 4cae*2 mois
833 5 cae * 1 mois
1000€ 6 cae *1mois
12h/S 4 mois + 16h/S 8 mois</t>
        </r>
      </text>
    </comment>
    <comment ref="G32" authorId="0">
      <text>
        <r>
          <rPr>
            <b/>
            <sz val="8"/>
            <color indexed="8"/>
            <rFont val="Tahoma"/>
            <family val="2"/>
          </rPr>
          <t>4 CAE 3 MOIS + 5 CAE 3 MOIS + 6 CAE 7 MOIS</t>
        </r>
      </text>
    </comment>
    <comment ref="D33" authorId="0">
      <text>
        <r>
          <rPr>
            <b/>
            <sz val="8"/>
            <color indexed="8"/>
            <rFont val="Tahoma"/>
            <family val="2"/>
          </rPr>
          <t xml:space="preserve">75€ x 11 visites
</t>
        </r>
      </text>
    </comment>
    <comment ref="G33" authorId="0">
      <text>
        <r>
          <rPr>
            <sz val="10"/>
            <rFont val="Arial"/>
            <family val="2"/>
          </rPr>
          <t>220par RSA*3rsa*9mois
+1000€ de prime de sortie</t>
        </r>
      </text>
    </comment>
    <comment ref="D34" authorId="0">
      <text>
        <r>
          <rPr>
            <b/>
            <sz val="8"/>
            <color indexed="8"/>
            <rFont val="Tahoma"/>
            <family val="2"/>
          </rPr>
          <t xml:space="preserve">Suivant plan de formation 
</t>
        </r>
      </text>
    </comment>
    <comment ref="G34" authorId="0">
      <text>
        <r>
          <rPr>
            <b/>
            <sz val="8"/>
            <color indexed="8"/>
            <rFont val="Tahoma"/>
            <family val="2"/>
          </rPr>
          <t>Suivant contrat en cours</t>
        </r>
      </text>
    </comment>
    <comment ref="D35" authorId="0">
      <text>
        <r>
          <rPr>
            <b/>
            <sz val="8"/>
            <color indexed="8"/>
            <rFont val="Tahoma"/>
            <family val="2"/>
          </rPr>
          <t>Cotisation 2011</t>
        </r>
      </text>
    </comment>
    <comment ref="G35" authorId="0">
      <text>
        <r>
          <rPr>
            <b/>
            <sz val="8"/>
            <color indexed="8"/>
            <rFont val="Tahoma"/>
            <family val="2"/>
          </rPr>
          <t xml:space="preserve">Prise en charge de 70% du 7 ème CAE sur 4 mois 
</t>
        </r>
      </text>
    </comment>
    <comment ref="G36" authorId="0">
      <text>
        <r>
          <rPr>
            <b/>
            <sz val="8"/>
            <color indexed="8"/>
            <rFont val="Tahoma"/>
            <family val="2"/>
          </rPr>
          <t xml:space="preserve">hypothèse : 3500 Montant probable suivant échanges dialogue de gestion
</t>
        </r>
      </text>
    </comment>
    <comment ref="D40" authorId="0">
      <text>
        <r>
          <rPr>
            <b/>
            <sz val="8"/>
            <color indexed="8"/>
            <rFont val="Tahoma"/>
            <family val="2"/>
          </rPr>
          <t xml:space="preserve">20 k€ amortis sur 5 ans proratisé sur 6 mois pour 2011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6" authorId="0">
      <text>
        <r>
          <rPr>
            <sz val="8"/>
            <color indexed="8"/>
            <rFont val="Tahoma"/>
            <family val="2"/>
          </rPr>
          <t xml:space="preserve">Base 2010 soit 12% des ventes de prestations
</t>
        </r>
      </text>
    </comment>
    <comment ref="G6" authorId="0">
      <text>
        <r>
          <rPr>
            <b/>
            <sz val="8"/>
            <color indexed="8"/>
            <rFont val="Tahoma"/>
            <family val="2"/>
          </rPr>
          <t xml:space="preserve">106100€ de CA 2010 x 2 x 1,2 (hausse d'activité) 
</t>
        </r>
      </text>
    </comment>
    <comment ref="D7" authorId="0">
      <text>
        <r>
          <rPr>
            <sz val="8"/>
            <color indexed="8"/>
            <rFont val="Tahoma"/>
            <family val="2"/>
          </rPr>
          <t xml:space="preserve">EDF : 5 kW x 200 j x 0,35 € + abt 30 € x 12 mois
EAU : 10 € x 12 mois
</t>
        </r>
      </text>
    </comment>
    <comment ref="G7" authorId="0">
      <text>
        <r>
          <rPr>
            <b/>
            <sz val="8"/>
            <color indexed="8"/>
            <rFont val="Tahoma"/>
            <family val="2"/>
          </rPr>
          <t xml:space="preserve">12 mois x 12h/S x 20€/h
</t>
        </r>
      </text>
    </comment>
    <comment ref="D8" authorId="0">
      <text>
        <r>
          <rPr>
            <b/>
            <sz val="8"/>
            <color indexed="8"/>
            <rFont val="Tahoma"/>
            <family val="2"/>
          </rPr>
          <t>base 2010 : 550€ pour 6 mois + 40% hausse d'activité = 550 € x 2 x 1,4</t>
        </r>
      </text>
    </comment>
    <comment ref="D9" authorId="0">
      <text>
        <r>
          <rPr>
            <b/>
            <sz val="8"/>
            <color indexed="8"/>
            <rFont val="Tahoma"/>
            <family val="2"/>
          </rPr>
          <t xml:space="preserve">Consomation 2010 : 828€ pour 6 mois. Soit 828 x 2 x1,4 (hausse d'activité)
</t>
        </r>
      </text>
    </comment>
    <comment ref="D11" authorId="0">
      <text>
        <r>
          <rPr>
            <b/>
            <sz val="8"/>
            <color indexed="8"/>
            <rFont val="Tahoma"/>
            <family val="2"/>
          </rPr>
          <t>suivant plan de formation prévisionnel</t>
        </r>
      </text>
    </comment>
    <comment ref="D12" authorId="0">
      <text>
        <r>
          <rPr>
            <b/>
            <sz val="8"/>
            <color indexed="8"/>
            <rFont val="Tahoma"/>
            <family val="2"/>
          </rPr>
          <t xml:space="preserve">suivant contrat en cours
</t>
        </r>
      </text>
    </comment>
    <comment ref="D13" authorId="0">
      <text>
        <r>
          <rPr>
            <b/>
            <sz val="8"/>
            <color indexed="8"/>
            <rFont val="Tahoma"/>
            <family val="2"/>
          </rPr>
          <t xml:space="preserve">40€ pendant 12 mois (prise en charge commune jusqu'en avril)
</t>
        </r>
      </text>
    </comment>
    <comment ref="D14" authorId="0">
      <text>
        <r>
          <rPr>
            <b/>
            <sz val="8"/>
            <color indexed="8"/>
            <rFont val="Tahoma"/>
            <family val="2"/>
          </rPr>
          <t>Location ponctuelle d'engin ou d'outils spécialisés :
200 € x 12 mois</t>
        </r>
      </text>
    </comment>
    <comment ref="D15" authorId="0">
      <text>
        <r>
          <rPr>
            <b/>
            <sz val="8"/>
            <color indexed="8"/>
            <rFont val="Tahoma"/>
            <family val="2"/>
          </rPr>
          <t xml:space="preserve">Frais de garage prévisionnels
</t>
        </r>
      </text>
    </comment>
    <comment ref="D16" authorId="0">
      <text>
        <r>
          <rPr>
            <b/>
            <sz val="8"/>
            <color indexed="8"/>
            <rFont val="Tahoma"/>
            <family val="2"/>
          </rPr>
          <t xml:space="preserve">200€ de contrat en cours + 100€ pour hausse d'activité
</t>
        </r>
      </text>
    </comment>
    <comment ref="D18" authorId="0">
      <text>
        <r>
          <rPr>
            <b/>
            <sz val="8"/>
            <color indexed="8"/>
            <rFont val="Tahoma"/>
            <family val="2"/>
          </rPr>
          <t>Base 2010 soit 12 € par paye (96payes)+ 100 € mensuel pour la compta générale)</t>
        </r>
      </text>
    </comment>
    <comment ref="D19" authorId="0">
      <text>
        <r>
          <rPr>
            <b/>
            <sz val="8"/>
            <color indexed="8"/>
            <rFont val="Tahoma"/>
            <family val="2"/>
          </rPr>
          <t xml:space="preserve">envoie de mailing + évènements
</t>
        </r>
      </text>
    </comment>
    <comment ref="D20" authorId="0">
      <text>
        <r>
          <rPr>
            <sz val="10"/>
            <rFont val="Arial"/>
            <family val="2"/>
          </rPr>
          <t xml:space="preserve">350€ en 2010 POUR 6 MOIS
</t>
        </r>
      </text>
    </comment>
    <comment ref="D21" authorId="0">
      <text>
        <r>
          <rPr>
            <b/>
            <sz val="8"/>
            <color indexed="8"/>
            <rFont val="Tahoma"/>
            <family val="2"/>
          </rPr>
          <t>2 repas en commun de 100 € + une viste à une autre Régie 500 €</t>
        </r>
      </text>
    </comment>
    <comment ref="D22" authorId="0">
      <text>
        <r>
          <rPr>
            <b/>
            <sz val="8"/>
            <color indexed="8"/>
            <rFont val="Tahoma"/>
            <family val="2"/>
          </rPr>
          <t>BASE 2010</t>
        </r>
      </text>
    </comment>
    <comment ref="D23" authorId="0">
      <text>
        <r>
          <rPr>
            <b/>
            <sz val="8"/>
            <color indexed="8"/>
            <rFont val="Tahoma"/>
            <family val="2"/>
          </rPr>
          <t xml:space="preserve">1 portable 12 mois x 15€
2 portable 12 mois x 15€
1 portable 12 mois 30€
</t>
        </r>
      </text>
    </comment>
    <comment ref="D24" authorId="0">
      <text>
        <r>
          <rPr>
            <b/>
            <sz val="8"/>
            <color indexed="8"/>
            <rFont val="Tahoma"/>
            <family val="2"/>
          </rPr>
          <t xml:space="preserve">suivant contrat
</t>
        </r>
      </text>
    </comment>
    <comment ref="D25" authorId="0">
      <text>
        <r>
          <rPr>
            <b/>
            <sz val="8"/>
            <color indexed="8"/>
            <rFont val="Tahoma"/>
            <family val="2"/>
          </rPr>
          <t>Forfait annuel</t>
        </r>
      </text>
    </comment>
    <comment ref="D26" authorId="0">
      <text>
        <r>
          <rPr>
            <b/>
            <sz val="8"/>
            <color indexed="8"/>
            <rFont val="Tahoma"/>
            <family val="2"/>
          </rPr>
          <t>Frais de gestion de compte et de virement divers</t>
        </r>
      </text>
    </comment>
    <comment ref="D27" authorId="0">
      <text>
        <r>
          <rPr>
            <b/>
            <sz val="8"/>
            <color indexed="8"/>
            <rFont val="Tahoma"/>
            <family val="2"/>
          </rPr>
          <t xml:space="preserve">Taxe sur les salaires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D29" authorId="0">
      <text>
        <r>
          <rPr>
            <b/>
            <sz val="8"/>
            <color indexed="8"/>
            <rFont val="Tahoma"/>
            <family val="2"/>
          </rPr>
          <t xml:space="preserve"> 6 CAE 12 mois
</t>
        </r>
      </text>
    </comment>
    <comment ref="G29" authorId="0">
      <text>
        <r>
          <rPr>
            <b/>
            <sz val="8"/>
            <color indexed="8"/>
            <rFont val="Tahoma"/>
            <family val="2"/>
          </rPr>
          <t xml:space="preserve">Suivant convention
</t>
        </r>
      </text>
    </comment>
    <comment ref="D30" authorId="0">
      <text>
        <r>
          <rPr>
            <sz val="10"/>
            <rFont val="Arial"/>
            <family val="2"/>
          </rPr>
          <t>1 encadrant à 2100€ brut + charges 43%</t>
        </r>
      </text>
    </comment>
    <comment ref="G30" authorId="0">
      <text>
        <r>
          <rPr>
            <b/>
            <sz val="8"/>
            <color indexed="8"/>
            <rFont val="Tahoma"/>
            <family val="2"/>
          </rPr>
          <t xml:space="preserve">Suivant taux d'encadrement
</t>
        </r>
      </text>
    </comment>
    <comment ref="D31" authorId="0">
      <text>
        <r>
          <rPr>
            <b/>
            <sz val="8"/>
            <color indexed="8"/>
            <rFont val="Tahoma"/>
            <family val="2"/>
          </rPr>
          <t xml:space="preserve">4 mois 26h par semaine
</t>
        </r>
      </text>
    </comment>
    <comment ref="G31" authorId="0">
      <text>
        <r>
          <rPr>
            <b/>
            <sz val="8"/>
            <color indexed="8"/>
            <rFont val="Tahoma"/>
            <family val="2"/>
          </rPr>
          <t xml:space="preserve">Suivant plan de formation
</t>
        </r>
      </text>
    </comment>
    <comment ref="D32" authorId="0">
      <text>
        <r>
          <rPr>
            <sz val="10"/>
            <rFont val="Arial"/>
            <family val="2"/>
          </rPr>
          <t>12 mois à 32h à 2200€ + 43% de charges</t>
        </r>
      </text>
    </comment>
    <comment ref="G32" authorId="0">
      <text>
        <r>
          <rPr>
            <b/>
            <sz val="8"/>
            <color indexed="8"/>
            <rFont val="Tahoma"/>
            <family val="2"/>
          </rPr>
          <t xml:space="preserve">50% de la demande de 15 k€
</t>
        </r>
      </text>
    </comment>
    <comment ref="D33" authorId="0">
      <text>
        <r>
          <rPr>
            <b/>
            <sz val="8"/>
            <color indexed="8"/>
            <rFont val="Tahoma"/>
            <family val="2"/>
          </rPr>
          <t>12 mois à 24h/s</t>
        </r>
      </text>
    </comment>
    <comment ref="G33" authorId="0">
      <text>
        <r>
          <rPr>
            <b/>
            <sz val="8"/>
            <color indexed="8"/>
            <rFont val="Tahoma"/>
            <family val="2"/>
          </rPr>
          <t>6 CAE 12 MOIS</t>
        </r>
      </text>
    </comment>
    <comment ref="D34" authorId="0">
      <text>
        <r>
          <rPr>
            <b/>
            <sz val="8"/>
            <color indexed="8"/>
            <rFont val="Tahoma"/>
            <family val="2"/>
          </rPr>
          <t xml:space="preserve">75€ x 11 visites
</t>
        </r>
      </text>
    </comment>
    <comment ref="G34" authorId="0">
      <text>
        <r>
          <rPr>
            <sz val="10"/>
            <rFont val="Arial"/>
            <family val="2"/>
          </rPr>
          <t>220par RSA*3rsa*9mois
+1000€ de prime de sortie</t>
        </r>
      </text>
    </comment>
    <comment ref="D35" authorId="0">
      <text>
        <r>
          <rPr>
            <b/>
            <sz val="8"/>
            <color indexed="8"/>
            <rFont val="Tahoma"/>
            <family val="2"/>
          </rPr>
          <t xml:space="preserve">Suivant plan de formation 
</t>
        </r>
      </text>
    </comment>
    <comment ref="G35" authorId="0">
      <text>
        <r>
          <rPr>
            <b/>
            <sz val="8"/>
            <color indexed="8"/>
            <rFont val="Tahoma"/>
            <family val="2"/>
          </rPr>
          <t>Suivant contrat en cours</t>
        </r>
      </text>
    </comment>
    <comment ref="D36" authorId="0">
      <text>
        <r>
          <rPr>
            <b/>
            <sz val="8"/>
            <color indexed="8"/>
            <rFont val="Tahoma"/>
            <family val="2"/>
          </rPr>
          <t>Cotisation 2012</t>
        </r>
      </text>
    </comment>
    <comment ref="G36" authorId="0">
      <text>
        <r>
          <rPr>
            <b/>
            <sz val="8"/>
            <color indexed="8"/>
            <rFont val="Tahoma"/>
            <family val="2"/>
          </rPr>
          <t xml:space="preserve">Prise en charge de 70% du 7 ème CAE sur 12 mois 
</t>
        </r>
      </text>
    </comment>
    <comment ref="G37" authorId="0">
      <text>
        <r>
          <rPr>
            <b/>
            <sz val="8"/>
            <color indexed="8"/>
            <rFont val="Tahoma"/>
            <family val="2"/>
          </rPr>
          <t xml:space="preserve">hypothèse : 3500 Montant probable suivant échanges dialogue de gestion
</t>
        </r>
      </text>
    </comment>
    <comment ref="D41" authorId="0">
      <text>
        <r>
          <rPr>
            <b/>
            <sz val="8"/>
            <color indexed="8"/>
            <rFont val="Tahoma"/>
            <family val="2"/>
          </rPr>
          <t xml:space="preserve">25 k€ amortis sur 5 ans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6" authorId="0">
      <text>
        <r>
          <rPr>
            <sz val="8"/>
            <color indexed="8"/>
            <rFont val="Tahoma"/>
            <family val="2"/>
          </rPr>
          <t xml:space="preserve">Base 2010 soit 12% des ventes de prestations
</t>
        </r>
      </text>
    </comment>
    <comment ref="G6" authorId="0">
      <text>
        <r>
          <rPr>
            <b/>
            <sz val="8"/>
            <color indexed="8"/>
            <rFont val="Tahoma"/>
            <family val="2"/>
          </rPr>
          <t xml:space="preserve">106100€ de CA 2010 x 2 x 1,2 (hausse d'activité) 
</t>
        </r>
      </text>
    </comment>
    <comment ref="D7" authorId="0">
      <text>
        <r>
          <rPr>
            <sz val="8"/>
            <color indexed="8"/>
            <rFont val="Tahoma"/>
            <family val="2"/>
          </rPr>
          <t xml:space="preserve">EDF : 5 kW x 200 j x 0,35 € + abt 30 € x 12 mois
EAU : 10 € x 12 mois
</t>
        </r>
      </text>
    </comment>
    <comment ref="G7" authorId="0">
      <text>
        <r>
          <rPr>
            <b/>
            <sz val="8"/>
            <color indexed="8"/>
            <rFont val="Tahoma"/>
            <family val="2"/>
          </rPr>
          <t xml:space="preserve">12 mois x 12h/S x 20€/h
</t>
        </r>
      </text>
    </comment>
    <comment ref="D8" authorId="0">
      <text>
        <r>
          <rPr>
            <b/>
            <sz val="8"/>
            <color indexed="8"/>
            <rFont val="Tahoma"/>
            <family val="2"/>
          </rPr>
          <t>base 2010 : 550€ pour 6 mois + 40% hausse d'activité = 550 € x 2 x 1,4</t>
        </r>
      </text>
    </comment>
    <comment ref="D9" authorId="0">
      <text>
        <r>
          <rPr>
            <b/>
            <sz val="8"/>
            <color indexed="8"/>
            <rFont val="Tahoma"/>
            <family val="2"/>
          </rPr>
          <t xml:space="preserve">Consomation 2010 : 828€ pour 6 mois. Soit 828 x 2 x1,4 (hausse d'activité)
</t>
        </r>
      </text>
    </comment>
    <comment ref="D11" authorId="0">
      <text>
        <r>
          <rPr>
            <b/>
            <sz val="8"/>
            <color indexed="8"/>
            <rFont val="Tahoma"/>
            <family val="2"/>
          </rPr>
          <t>suivant plan de formation prévisionnel</t>
        </r>
      </text>
    </comment>
    <comment ref="D12" authorId="0">
      <text>
        <r>
          <rPr>
            <b/>
            <sz val="8"/>
            <color indexed="8"/>
            <rFont val="Tahoma"/>
            <family val="2"/>
          </rPr>
          <t xml:space="preserve">suivant contrat en cours
</t>
        </r>
      </text>
    </comment>
    <comment ref="D13" authorId="0">
      <text>
        <r>
          <rPr>
            <b/>
            <sz val="8"/>
            <color indexed="8"/>
            <rFont val="Tahoma"/>
            <family val="2"/>
          </rPr>
          <t xml:space="preserve">40€ pendant 12 mois (prise en charge commune jusqu'en avril)
</t>
        </r>
      </text>
    </comment>
    <comment ref="D14" authorId="0">
      <text>
        <r>
          <rPr>
            <b/>
            <sz val="8"/>
            <color indexed="8"/>
            <rFont val="Tahoma"/>
            <family val="2"/>
          </rPr>
          <t>Location ponctuelle d'engin ou d'outils spécialisés :
200 € x 12 mois</t>
        </r>
      </text>
    </comment>
    <comment ref="D15" authorId="0">
      <text>
        <r>
          <rPr>
            <b/>
            <sz val="8"/>
            <color indexed="8"/>
            <rFont val="Tahoma"/>
            <family val="2"/>
          </rPr>
          <t xml:space="preserve">Frais de garage prévisionnels
</t>
        </r>
      </text>
    </comment>
    <comment ref="D16" authorId="0">
      <text>
        <r>
          <rPr>
            <b/>
            <sz val="8"/>
            <color indexed="8"/>
            <rFont val="Tahoma"/>
            <family val="2"/>
          </rPr>
          <t xml:space="preserve">200€ de contrat en cours + 100€ pour hausse d'activité
</t>
        </r>
      </text>
    </comment>
    <comment ref="D18" authorId="0">
      <text>
        <r>
          <rPr>
            <b/>
            <sz val="8"/>
            <color indexed="8"/>
            <rFont val="Tahoma"/>
            <family val="2"/>
          </rPr>
          <t>Base 2010 soit 12 € par paye (96payes)+ 100 € mensuel pour la compta générale)</t>
        </r>
      </text>
    </comment>
    <comment ref="D19" authorId="0">
      <text>
        <r>
          <rPr>
            <b/>
            <sz val="8"/>
            <color indexed="8"/>
            <rFont val="Tahoma"/>
            <family val="2"/>
          </rPr>
          <t xml:space="preserve">envoie de mailing + évènements
</t>
        </r>
      </text>
    </comment>
    <comment ref="D20" authorId="0">
      <text>
        <r>
          <rPr>
            <sz val="10"/>
            <rFont val="Arial"/>
            <family val="2"/>
          </rPr>
          <t xml:space="preserve">350€ en 2010 POUR 6 MOIS
</t>
        </r>
      </text>
    </comment>
    <comment ref="D21" authorId="0">
      <text>
        <r>
          <rPr>
            <b/>
            <sz val="8"/>
            <color indexed="8"/>
            <rFont val="Tahoma"/>
            <family val="2"/>
          </rPr>
          <t>2 repas en commun de 100 € + une viste à une autre Régie 500 €</t>
        </r>
      </text>
    </comment>
    <comment ref="D22" authorId="0">
      <text>
        <r>
          <rPr>
            <b/>
            <sz val="8"/>
            <color indexed="8"/>
            <rFont val="Tahoma"/>
            <family val="2"/>
          </rPr>
          <t>BASE 2010</t>
        </r>
      </text>
    </comment>
    <comment ref="D23" authorId="0">
      <text>
        <r>
          <rPr>
            <b/>
            <sz val="8"/>
            <color indexed="8"/>
            <rFont val="Tahoma"/>
            <family val="2"/>
          </rPr>
          <t xml:space="preserve">1 portable 12 mois x 15€
2 portable 12 mois x 15€
1 portable 12 mois 30€
</t>
        </r>
      </text>
    </comment>
    <comment ref="D24" authorId="0">
      <text>
        <r>
          <rPr>
            <b/>
            <sz val="8"/>
            <color indexed="8"/>
            <rFont val="Tahoma"/>
            <family val="2"/>
          </rPr>
          <t xml:space="preserve">suivant contrat
</t>
        </r>
      </text>
    </comment>
    <comment ref="D25" authorId="0">
      <text>
        <r>
          <rPr>
            <b/>
            <sz val="8"/>
            <color indexed="8"/>
            <rFont val="Tahoma"/>
            <family val="2"/>
          </rPr>
          <t>Forfait annuel</t>
        </r>
      </text>
    </comment>
    <comment ref="D26" authorId="0">
      <text>
        <r>
          <rPr>
            <b/>
            <sz val="8"/>
            <color indexed="8"/>
            <rFont val="Tahoma"/>
            <family val="2"/>
          </rPr>
          <t>Frais de gestion de compte et de virement divers</t>
        </r>
      </text>
    </comment>
    <comment ref="D27" authorId="0">
      <text>
        <r>
          <rPr>
            <b/>
            <sz val="8"/>
            <color indexed="8"/>
            <rFont val="Tahoma"/>
            <family val="2"/>
          </rPr>
          <t xml:space="preserve">Taxe sur les salaires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D29" authorId="0">
      <text>
        <r>
          <rPr>
            <b/>
            <sz val="8"/>
            <color indexed="8"/>
            <rFont val="Tahoma"/>
            <family val="2"/>
          </rPr>
          <t xml:space="preserve"> 6 CAE 12 mois
</t>
        </r>
      </text>
    </comment>
    <comment ref="G29" authorId="0">
      <text>
        <r>
          <rPr>
            <b/>
            <sz val="8"/>
            <color indexed="8"/>
            <rFont val="Tahoma"/>
            <family val="2"/>
          </rPr>
          <t xml:space="preserve">Suivant convention
</t>
        </r>
      </text>
    </comment>
    <comment ref="D30" authorId="0">
      <text>
        <r>
          <rPr>
            <sz val="10"/>
            <rFont val="Arial"/>
            <family val="2"/>
          </rPr>
          <t>1 encadrant à 2100€ brut + charges 43%</t>
        </r>
      </text>
    </comment>
    <comment ref="G30" authorId="0">
      <text>
        <r>
          <rPr>
            <b/>
            <sz val="8"/>
            <color indexed="8"/>
            <rFont val="Tahoma"/>
            <family val="2"/>
          </rPr>
          <t xml:space="preserve">Suivant taux d'encadrement
</t>
        </r>
      </text>
    </comment>
    <comment ref="D31" authorId="0">
      <text>
        <r>
          <rPr>
            <b/>
            <sz val="8"/>
            <color indexed="8"/>
            <rFont val="Tahoma"/>
            <family val="2"/>
          </rPr>
          <t xml:space="preserve">4 mois 26h par semaine
</t>
        </r>
      </text>
    </comment>
    <comment ref="G31" authorId="0">
      <text>
        <r>
          <rPr>
            <b/>
            <sz val="8"/>
            <color indexed="8"/>
            <rFont val="Tahoma"/>
            <family val="2"/>
          </rPr>
          <t xml:space="preserve">Suivant plan de formation
</t>
        </r>
      </text>
    </comment>
    <comment ref="D32" authorId="0">
      <text>
        <r>
          <rPr>
            <sz val="10"/>
            <rFont val="Arial"/>
            <family val="2"/>
          </rPr>
          <t>12 mois à 32h à 2200€ + 43% de charges</t>
        </r>
      </text>
    </comment>
    <comment ref="G32" authorId="0">
      <text>
        <r>
          <rPr>
            <b/>
            <sz val="8"/>
            <color indexed="8"/>
            <rFont val="Tahoma"/>
            <family val="2"/>
          </rPr>
          <t xml:space="preserve">50% de la demande de 15 k€
</t>
        </r>
      </text>
    </comment>
    <comment ref="D33" authorId="0">
      <text>
        <r>
          <rPr>
            <b/>
            <sz val="8"/>
            <color indexed="8"/>
            <rFont val="Tahoma"/>
            <family val="2"/>
          </rPr>
          <t>12 mois à 24h/s</t>
        </r>
      </text>
    </comment>
    <comment ref="G33" authorId="0">
      <text>
        <r>
          <rPr>
            <b/>
            <sz val="8"/>
            <color indexed="8"/>
            <rFont val="Tahoma"/>
            <family val="2"/>
          </rPr>
          <t>6 CAE 12 MOIS</t>
        </r>
      </text>
    </comment>
    <comment ref="D34" authorId="0">
      <text>
        <r>
          <rPr>
            <b/>
            <sz val="8"/>
            <color indexed="8"/>
            <rFont val="Tahoma"/>
            <family val="2"/>
          </rPr>
          <t xml:space="preserve">75€ x 11 visites
</t>
        </r>
      </text>
    </comment>
    <comment ref="G34" authorId="0">
      <text>
        <r>
          <rPr>
            <sz val="10"/>
            <rFont val="Arial"/>
            <family val="2"/>
          </rPr>
          <t>220par RSA*3rsa*9mois
+1000€ de prime de sortie</t>
        </r>
      </text>
    </comment>
    <comment ref="D35" authorId="0">
      <text>
        <r>
          <rPr>
            <b/>
            <sz val="8"/>
            <color indexed="8"/>
            <rFont val="Tahoma"/>
            <family val="2"/>
          </rPr>
          <t xml:space="preserve">Suivant plan de formation 
</t>
        </r>
      </text>
    </comment>
    <comment ref="G35" authorId="0">
      <text>
        <r>
          <rPr>
            <b/>
            <sz val="8"/>
            <color indexed="8"/>
            <rFont val="Tahoma"/>
            <family val="2"/>
          </rPr>
          <t>Suivant contrat en cours</t>
        </r>
      </text>
    </comment>
    <comment ref="D36" authorId="0">
      <text>
        <r>
          <rPr>
            <b/>
            <sz val="8"/>
            <color indexed="8"/>
            <rFont val="Tahoma"/>
            <family val="2"/>
          </rPr>
          <t>Cotisation 2012</t>
        </r>
      </text>
    </comment>
    <comment ref="G36" authorId="0">
      <text>
        <r>
          <rPr>
            <b/>
            <sz val="8"/>
            <color indexed="8"/>
            <rFont val="Tahoma"/>
            <family val="2"/>
          </rPr>
          <t xml:space="preserve">Prise en charge de 70% du 7 ème CAE sur 12 mois 
</t>
        </r>
      </text>
    </comment>
    <comment ref="G37" authorId="0">
      <text>
        <r>
          <rPr>
            <b/>
            <sz val="8"/>
            <color indexed="8"/>
            <rFont val="Tahoma"/>
            <family val="2"/>
          </rPr>
          <t xml:space="preserve">hypothèse : 3500 Montant probable suivant échanges dialogue de gestion
</t>
        </r>
      </text>
    </comment>
    <comment ref="D41" authorId="0">
      <text>
        <r>
          <rPr>
            <b/>
            <sz val="8"/>
            <color indexed="8"/>
            <rFont val="Tahoma"/>
            <family val="2"/>
          </rPr>
          <t xml:space="preserve">25 k€ amortis sur 5 ans
</t>
        </r>
      </text>
    </comment>
  </commentList>
</comments>
</file>

<file path=xl/comments6.xml><?xml version="1.0" encoding="utf-8"?>
<comments xmlns="http://schemas.openxmlformats.org/spreadsheetml/2006/main">
  <authors>
    <author>EDF-GDF</author>
  </authors>
  <commentList>
    <comment ref="V66" authorId="0">
      <text>
        <r>
          <rPr>
            <b/>
            <sz val="8"/>
            <color indexed="81"/>
            <rFont val="Tahoma"/>
            <family val="2"/>
          </rPr>
          <t>Total des salaires payés au cours du mois</t>
        </r>
      </text>
    </comment>
  </commentList>
</comments>
</file>

<file path=xl/sharedStrings.xml><?xml version="1.0" encoding="utf-8"?>
<sst xmlns="http://schemas.openxmlformats.org/spreadsheetml/2006/main" count="1265" uniqueCount="672">
  <si>
    <t>MIGUET Jean</t>
  </si>
  <si>
    <t>BUEVOZ Eve</t>
  </si>
  <si>
    <t>CHALAND Christine</t>
  </si>
  <si>
    <t>CHASSANDE Michel</t>
  </si>
  <si>
    <t>DEVERCHERE Anne</t>
  </si>
  <si>
    <t>DUPOND Geneviève</t>
  </si>
  <si>
    <t>ESCULIER Claire</t>
  </si>
  <si>
    <t>FREYTAG Marie-Paule</t>
  </si>
  <si>
    <t>GOFFIC Gilles</t>
  </si>
  <si>
    <t>JAUFFRET Philippe</t>
  </si>
  <si>
    <t>LIMARE Serge</t>
  </si>
  <si>
    <t>MARCOZ Marie-Paule</t>
  </si>
  <si>
    <t>MAZET André</t>
  </si>
  <si>
    <t>MOLBERT Eric</t>
  </si>
  <si>
    <t>QUESNEL Jean-François</t>
  </si>
  <si>
    <t>REVERDY Bernard</t>
  </si>
  <si>
    <t>SAINT-GERMAIN Rémy</t>
  </si>
  <si>
    <t>TURPIN Bernard</t>
  </si>
  <si>
    <t>N° d'ordre Client</t>
  </si>
  <si>
    <t>N° d'ordre Salarié</t>
  </si>
  <si>
    <t>Heures mensuelles pour chaque salariés</t>
  </si>
  <si>
    <t>Com ST PIERRE ALBIGNY</t>
  </si>
  <si>
    <t>Communauté Com</t>
  </si>
  <si>
    <t>VERDIER Michel</t>
  </si>
  <si>
    <t>LENOIR Hervé</t>
  </si>
  <si>
    <t>Relevé mensuel          main d'oeuvre              (heures par salariés)                     et heures fournies                                   pour chaque client</t>
  </si>
  <si>
    <t>Heures travaillées</t>
  </si>
  <si>
    <t>Absences justifiées</t>
  </si>
  <si>
    <t>Absences non justifiées</t>
  </si>
  <si>
    <t>Régie de Territoire                                                        Cœur de Savoie                                                                          Exercice 2012                                                                     Janvier</t>
  </si>
  <si>
    <t>Relevé mensuel  des heures                     par salariés</t>
  </si>
  <si>
    <t>Absences non justif.</t>
  </si>
  <si>
    <t>Taux Horaire du salarié</t>
  </si>
  <si>
    <t>Montant total brut par salarié</t>
  </si>
  <si>
    <t>Données mensuelles "Salariés"</t>
  </si>
  <si>
    <t>Données mensuelles "Clients"</t>
  </si>
  <si>
    <t>Totaux</t>
  </si>
  <si>
    <t>Nombre total des heures à régler</t>
  </si>
  <si>
    <t>Nombre total des heures chantier</t>
  </si>
  <si>
    <t>Montant total mensuel chantier par client</t>
  </si>
  <si>
    <t>Raison Sociale                 du Client</t>
  </si>
  <si>
    <t>BOISSELET Jean Loup</t>
  </si>
  <si>
    <t>Adresse</t>
  </si>
  <si>
    <t>205, avenue de la République 73198 MONTMEMIAN</t>
  </si>
  <si>
    <t>Tél fixe</t>
  </si>
  <si>
    <t>Fax</t>
  </si>
  <si>
    <t>Montant de la facture</t>
  </si>
  <si>
    <t>Date naiss</t>
  </si>
  <si>
    <t>Base de Données                                        Salariés Insertion</t>
  </si>
  <si>
    <t>Commune MONTMELIAN</t>
  </si>
  <si>
    <t>Base de Données Clients</t>
  </si>
  <si>
    <t>Raison Sociale du Client</t>
  </si>
  <si>
    <t>Référent</t>
  </si>
  <si>
    <t>Tél portable</t>
  </si>
  <si>
    <t>04 25 15 56 54</t>
  </si>
  <si>
    <t>Réfection mur</t>
  </si>
  <si>
    <t>Type Chantier potentiel</t>
  </si>
  <si>
    <t>Monsieur DUPONT Gilles</t>
  </si>
  <si>
    <t>Tarif horaire Brut 1</t>
  </si>
  <si>
    <t>Tarif horaire Brut 2</t>
  </si>
  <si>
    <t>Tarif horaire Brut 3</t>
  </si>
  <si>
    <t>Date Entrée Régie</t>
  </si>
  <si>
    <t>Date                    Sortie Régie</t>
  </si>
  <si>
    <t>BUDGET 2011</t>
  </si>
  <si>
    <t>DEBITS</t>
  </si>
  <si>
    <t>CREDITS</t>
  </si>
  <si>
    <t>N° de cpt</t>
  </si>
  <si>
    <t>Nature</t>
  </si>
  <si>
    <t>Montant</t>
  </si>
  <si>
    <t>%</t>
  </si>
  <si>
    <t>Achats</t>
  </si>
  <si>
    <t>Rémunération des services</t>
  </si>
  <si>
    <t>fournitures produits et petit équipement</t>
  </si>
  <si>
    <t>ventes de prestations</t>
  </si>
  <si>
    <t>eau, électricité</t>
  </si>
  <si>
    <t>Déchetterie</t>
  </si>
  <si>
    <t>fournitures de bureau</t>
  </si>
  <si>
    <t>carburant</t>
  </si>
  <si>
    <t>Services externes</t>
  </si>
  <si>
    <t>formation des bénévoles</t>
  </si>
  <si>
    <t>location immobilière</t>
  </si>
  <si>
    <t>location mobilière (photocopieur)</t>
  </si>
  <si>
    <t>location mobilière (matériel)</t>
  </si>
  <si>
    <t>entretien et réparation</t>
  </si>
  <si>
    <t>assurance</t>
  </si>
  <si>
    <t>Autres services externes</t>
  </si>
  <si>
    <t>honoraires comptable (paies,…)</t>
  </si>
  <si>
    <t>mission recept</t>
  </si>
  <si>
    <t>frais postaux</t>
  </si>
  <si>
    <t>Téléphones portables</t>
  </si>
  <si>
    <t>tel fixe et internet</t>
  </si>
  <si>
    <t>Agrément CNLRQ</t>
  </si>
  <si>
    <t>frais bancaires</t>
  </si>
  <si>
    <t>Impôts et taxes</t>
  </si>
  <si>
    <t>Frais de personnel</t>
  </si>
  <si>
    <t>Subvention fonctionnement</t>
  </si>
  <si>
    <t>salaires bruts CAE</t>
  </si>
  <si>
    <t>Région Rhône Alpes : aide au petit materiel</t>
  </si>
  <si>
    <t>salaires bruts encadrants</t>
  </si>
  <si>
    <t>Région Rhône Alpes : aide à la formation</t>
  </si>
  <si>
    <t>salaires bruts chargé de mission</t>
  </si>
  <si>
    <t>FDI : aide au démarrage 2011/consolidation</t>
  </si>
  <si>
    <t>Chargé d'insertion</t>
  </si>
  <si>
    <t>Aide au poste CAE</t>
  </si>
  <si>
    <t>medecine du travail</t>
  </si>
  <si>
    <t>Aide au poste Département DVS</t>
  </si>
  <si>
    <t xml:space="preserve">formation </t>
  </si>
  <si>
    <t>Convention com de com (vélo)</t>
  </si>
  <si>
    <t>habitat formation</t>
  </si>
  <si>
    <t>Aide au poste CAE Déchetterie/ Hors chantier</t>
  </si>
  <si>
    <t>ACI</t>
  </si>
  <si>
    <t>Charges de gestion courante</t>
  </si>
  <si>
    <t>AUTRES PRODUITS</t>
  </si>
  <si>
    <t>adhésions</t>
  </si>
  <si>
    <t>dot exploitation</t>
  </si>
  <si>
    <t>Habitat formation</t>
  </si>
  <si>
    <t xml:space="preserve">dot amortissement </t>
  </si>
  <si>
    <t>dot provision</t>
  </si>
  <si>
    <t xml:space="preserve">TOTAL </t>
  </si>
  <si>
    <t>TOTAL</t>
  </si>
  <si>
    <t>Charges nettes</t>
  </si>
  <si>
    <t>Nombre d'heures de chantier</t>
  </si>
  <si>
    <t>Coût de l'heure travaillée</t>
  </si>
  <si>
    <t>CA</t>
  </si>
  <si>
    <t>Prix heure vendue</t>
  </si>
  <si>
    <t>CHARGES</t>
  </si>
  <si>
    <t>PRODUITS</t>
  </si>
  <si>
    <t>Fournitures produits et petit équipement</t>
  </si>
  <si>
    <t>Eau, électricité</t>
  </si>
  <si>
    <t>Fournitures de bureau</t>
  </si>
  <si>
    <t>Carburant</t>
  </si>
  <si>
    <t>Formation des bénévoles</t>
  </si>
  <si>
    <t>Location immobilière</t>
  </si>
  <si>
    <t>Entretien et réparation</t>
  </si>
  <si>
    <t>Assurance</t>
  </si>
  <si>
    <t>Honoraires comptable (paies,…)</t>
  </si>
  <si>
    <t>Mission recept</t>
  </si>
  <si>
    <t>Frais postaux</t>
  </si>
  <si>
    <t>Tel fixe et internet</t>
  </si>
  <si>
    <t>Frais bancaires</t>
  </si>
  <si>
    <t>Salaires bruts CAE</t>
  </si>
  <si>
    <t>Région R A : aide à l'encadrem. socio prof.</t>
  </si>
  <si>
    <t>Location mobilière (photocopieur)</t>
  </si>
  <si>
    <t>Location mobilière (matériel)</t>
  </si>
  <si>
    <t>Salaires bruts encadrants</t>
  </si>
  <si>
    <t xml:space="preserve">Salaire CAE Déchetterie </t>
  </si>
  <si>
    <t>Salaires bruts chargé de mission</t>
  </si>
  <si>
    <t>Medecine du travail</t>
  </si>
  <si>
    <t xml:space="preserve">Formation </t>
  </si>
  <si>
    <t>Adhésions</t>
  </si>
  <si>
    <t>Ventes de prestations</t>
  </si>
  <si>
    <t>Dotation exploitation</t>
  </si>
  <si>
    <t xml:space="preserve">Dotation amortissement </t>
  </si>
  <si>
    <t>Dotation provision</t>
  </si>
  <si>
    <t>Autres Produits</t>
  </si>
  <si>
    <t xml:space="preserve">TOTAL  </t>
  </si>
  <si>
    <t>BUDGET 2012</t>
  </si>
  <si>
    <t>publicité</t>
  </si>
  <si>
    <t>transport</t>
  </si>
  <si>
    <t>cotisation CNLRQ</t>
  </si>
  <si>
    <r>
      <t xml:space="preserve">Région Rhône Alpes : aide à </t>
    </r>
    <r>
      <rPr>
        <u/>
        <sz val="10"/>
        <rFont val="Calibri"/>
        <family val="2"/>
      </rPr>
      <t xml:space="preserve">l'encadrement </t>
    </r>
    <r>
      <rPr>
        <sz val="10"/>
        <rFont val="Calibri"/>
        <family val="2"/>
      </rPr>
      <t>socio prof</t>
    </r>
  </si>
  <si>
    <t xml:space="preserve">CAE Déchetterie </t>
  </si>
  <si>
    <t>Convention com de com (vélo)/ projet atelier</t>
  </si>
  <si>
    <t>BUDGET 2013</t>
  </si>
  <si>
    <t>Projet</t>
  </si>
  <si>
    <t>ACI/ Etat</t>
  </si>
  <si>
    <t>RESULTAT COMPTABLE 2010 DE LA REGIE DE TERRITOIRE DU COEUR DE SAVOIE</t>
  </si>
  <si>
    <t>Prestation de chantier</t>
  </si>
  <si>
    <t>fourniture matériel</t>
  </si>
  <si>
    <t>fourniture de petit matériel et matériaux</t>
  </si>
  <si>
    <t>fourniture de bureau</t>
  </si>
  <si>
    <t>formation</t>
  </si>
  <si>
    <t>Location de véhicule</t>
  </si>
  <si>
    <t>honoraire comptable et chargé de mission</t>
  </si>
  <si>
    <t>frais d'annonce</t>
  </si>
  <si>
    <t>Réception</t>
  </si>
  <si>
    <t>frais de téléphone</t>
  </si>
  <si>
    <t xml:space="preserve">salaires </t>
  </si>
  <si>
    <t>charges sociales</t>
  </si>
  <si>
    <t xml:space="preserve">Région encadrement </t>
  </si>
  <si>
    <t>Charges financières</t>
  </si>
  <si>
    <t>FDI</t>
  </si>
  <si>
    <t>Charges exceptionnelles</t>
  </si>
  <si>
    <t>remboursement de franchise</t>
  </si>
  <si>
    <t>Autres produits</t>
  </si>
  <si>
    <t>Resultat créditeur</t>
  </si>
  <si>
    <t>TOTAL CHARGES</t>
  </si>
  <si>
    <t>TOTAL PRODUITS</t>
  </si>
  <si>
    <t>BILAN 2010 DE LA REGIE DE TERRITOIRE DU COEUR DE SAVOIE</t>
  </si>
  <si>
    <t>Actif immobilisé</t>
  </si>
  <si>
    <t>Capitaux propres</t>
  </si>
  <si>
    <t>cautions versées</t>
  </si>
  <si>
    <t>Emprunts ADISE</t>
  </si>
  <si>
    <t>Résultat 2010</t>
  </si>
  <si>
    <t>Actif circulant</t>
  </si>
  <si>
    <t>Dettes</t>
  </si>
  <si>
    <t>Clients</t>
  </si>
  <si>
    <t>Fournisseurs</t>
  </si>
  <si>
    <t>Subventions  à recevoir</t>
  </si>
  <si>
    <t>Prestataires</t>
  </si>
  <si>
    <t>Personnels</t>
  </si>
  <si>
    <t>Banque</t>
  </si>
  <si>
    <t>Charges sociales à payer</t>
  </si>
  <si>
    <t>Total ACTIF</t>
  </si>
  <si>
    <t>TOTAL PASSIF</t>
  </si>
  <si>
    <t>Pour rappel :</t>
  </si>
  <si>
    <t>Situation de trésorerie 2010. Réalisé.</t>
  </si>
  <si>
    <t>juin</t>
  </si>
  <si>
    <t>juillet</t>
  </si>
  <si>
    <t>août</t>
  </si>
  <si>
    <t>septembre</t>
  </si>
  <si>
    <t>octobre</t>
  </si>
  <si>
    <t>novembre</t>
  </si>
  <si>
    <t>decembre</t>
  </si>
  <si>
    <t>18289,,35</t>
  </si>
  <si>
    <t xml:space="preserve">PREVISIONNEL Regie de Territoire 2010  </t>
  </si>
  <si>
    <t xml:space="preserve"> </t>
  </si>
  <si>
    <t>prev 2010</t>
  </si>
  <si>
    <t>janvier</t>
  </si>
  <si>
    <t>février</t>
  </si>
  <si>
    <t>mars</t>
  </si>
  <si>
    <t>avril</t>
  </si>
  <si>
    <t>mai</t>
  </si>
  <si>
    <t>01 au 31 juillet</t>
  </si>
  <si>
    <t>aout</t>
  </si>
  <si>
    <t>décembre</t>
  </si>
  <si>
    <t>total</t>
  </si>
  <si>
    <t>BP 2011</t>
  </si>
  <si>
    <t>BP 2012</t>
  </si>
  <si>
    <t>BP 2013</t>
  </si>
  <si>
    <t>ventes prestations</t>
  </si>
  <si>
    <t>aide aux postes CAE</t>
  </si>
  <si>
    <t>aide aux postes DVS</t>
  </si>
  <si>
    <t>Aide à l'accompagnement Région</t>
  </si>
  <si>
    <t>Région Aide à l'encadrement Région</t>
  </si>
  <si>
    <t>2011 : acompte 20% + acompte 30% + solde</t>
  </si>
  <si>
    <t>Aide à l'accompagnement DDTEFP</t>
  </si>
  <si>
    <t>ACI Aide à l'accompagnement DDTEFP</t>
  </si>
  <si>
    <t>aide au démarrage : FDI</t>
  </si>
  <si>
    <t>aide au démarrage : département</t>
  </si>
  <si>
    <t>régul charges</t>
  </si>
  <si>
    <t>cotisations adhérents</t>
  </si>
  <si>
    <t>projets velo mobilité</t>
  </si>
  <si>
    <t>projets</t>
  </si>
  <si>
    <t>autre projets</t>
  </si>
  <si>
    <t>autres</t>
  </si>
  <si>
    <t>formation/région + materiel</t>
  </si>
  <si>
    <t>subvention investissement département</t>
  </si>
  <si>
    <t>subvention investissement FAPE</t>
  </si>
  <si>
    <t>Total Produits</t>
  </si>
  <si>
    <t>Total encaissement</t>
  </si>
  <si>
    <t>Total produits</t>
  </si>
  <si>
    <t>achat véhicule</t>
  </si>
  <si>
    <t>carburant/deplacement</t>
  </si>
  <si>
    <t>fournitures de produits, matériel et achats de matériaux</t>
  </si>
  <si>
    <t>fournitures de produits et pt équipements</t>
  </si>
  <si>
    <t>achat matériel (débropuisailleuses), mobilier, ordinateur</t>
  </si>
  <si>
    <t>fourniture ad</t>
  </si>
  <si>
    <t>entretien / réparation</t>
  </si>
  <si>
    <t>location véhicules</t>
  </si>
  <si>
    <t>location véhicule</t>
  </si>
  <si>
    <t xml:space="preserve">location materiel </t>
  </si>
  <si>
    <t>achats ordi</t>
  </si>
  <si>
    <t>eau edf/ chauffage</t>
  </si>
  <si>
    <t>fournitures ad</t>
  </si>
  <si>
    <t>location materiel</t>
  </si>
  <si>
    <t>photocopieur</t>
  </si>
  <si>
    <t>telephone portable</t>
  </si>
  <si>
    <t>telephone potable</t>
  </si>
  <si>
    <t>telephone fixe</t>
  </si>
  <si>
    <t>détecteur intrusion</t>
  </si>
  <si>
    <t>honoraires comptable</t>
  </si>
  <si>
    <t>honoraires comptable et paies</t>
  </si>
  <si>
    <t>honoraires expert comptable</t>
  </si>
  <si>
    <t>acc socio pro</t>
  </si>
  <si>
    <t>services divers</t>
  </si>
  <si>
    <t>taxe sur salaires</t>
  </si>
  <si>
    <t>Charges sociales diverses</t>
  </si>
  <si>
    <t>communication/publicité et mission réception</t>
  </si>
  <si>
    <t>cautions (vehicule/fournisseur)</t>
  </si>
  <si>
    <t>frais bancaire</t>
  </si>
  <si>
    <t>salaire chargé d'insertion</t>
  </si>
  <si>
    <t>charges sociales chargé d'insertion</t>
  </si>
  <si>
    <t>salaires CAE</t>
  </si>
  <si>
    <t>Salaires CAE</t>
  </si>
  <si>
    <t>charges CAE -350€/salarié/mois</t>
  </si>
  <si>
    <t>charges CAE</t>
  </si>
  <si>
    <t>caution bancaire</t>
  </si>
  <si>
    <t>CAE 70%</t>
  </si>
  <si>
    <t>Charge CAE 70ù</t>
  </si>
  <si>
    <t>salaires encadrant</t>
  </si>
  <si>
    <t>charges encadrant 1050/mois</t>
  </si>
  <si>
    <t>charges encadant</t>
  </si>
  <si>
    <t>salaires et charges sociales Chargé de Mission</t>
  </si>
  <si>
    <t>salaires C de Miss</t>
  </si>
  <si>
    <t>charges Chargé de Miss</t>
  </si>
  <si>
    <t>Charges sociales globales</t>
  </si>
  <si>
    <t>cotisations</t>
  </si>
  <si>
    <t>cotisations (CNLRQ)</t>
  </si>
  <si>
    <t>adises/ région (prêt à taux 0)</t>
  </si>
  <si>
    <t>cotisation Habitat Formation</t>
  </si>
  <si>
    <t>frais formation</t>
  </si>
  <si>
    <t>Total charges</t>
  </si>
  <si>
    <t>Total décaissement</t>
  </si>
  <si>
    <t>solde initial</t>
  </si>
  <si>
    <t>solde mensuel de trésorerie</t>
  </si>
  <si>
    <t>solde cumulé de trésorerie avant emprunt</t>
  </si>
  <si>
    <t>Solde cumulé de trésorerie</t>
  </si>
  <si>
    <t>Emprunt de trésorerie</t>
  </si>
  <si>
    <t>solde de trésorie à 31/12/2010</t>
  </si>
  <si>
    <t>remboursement d'emprunt</t>
  </si>
  <si>
    <t xml:space="preserve">Solde cumulé de trésorerie </t>
  </si>
  <si>
    <t>Prêt bancaire Trésorerie</t>
  </si>
  <si>
    <t xml:space="preserve">Durée </t>
  </si>
  <si>
    <t>4 ans</t>
  </si>
  <si>
    <t>RBT DE PRÊT</t>
  </si>
  <si>
    <t>5ans</t>
  </si>
  <si>
    <t>2011 charges fi</t>
  </si>
  <si>
    <t>Mensualité</t>
  </si>
  <si>
    <t>Prêt ADISES</t>
  </si>
  <si>
    <t>Remboursement de prêt</t>
  </si>
  <si>
    <t>Prévisionnel de Trésorerie</t>
  </si>
  <si>
    <t>Réalisé</t>
  </si>
  <si>
    <t>Total</t>
  </si>
  <si>
    <t>fevrier</t>
  </si>
  <si>
    <t>Exercice 2011</t>
  </si>
  <si>
    <t>Exercice 2013</t>
  </si>
  <si>
    <t>Exercice 2012</t>
  </si>
  <si>
    <t>REGIE DE TERRITOIRE CŒUR DE SAVOIE</t>
  </si>
  <si>
    <t xml:space="preserve">Salaires chargés </t>
  </si>
  <si>
    <t>n° et coef</t>
  </si>
  <si>
    <t>fonction</t>
  </si>
  <si>
    <t>type de contrat</t>
  </si>
  <si>
    <t>durée du travail</t>
  </si>
  <si>
    <t>taux horaire brut</t>
  </si>
  <si>
    <t>salaire net</t>
  </si>
  <si>
    <t>salaire brut</t>
  </si>
  <si>
    <t>charges employeur</t>
  </si>
  <si>
    <t>mensuel</t>
  </si>
  <si>
    <t>annuel</t>
  </si>
  <si>
    <t>aide au poste/mois</t>
  </si>
  <si>
    <t>aide au poste/an</t>
  </si>
  <si>
    <t>A1-310</t>
  </si>
  <si>
    <t>chargé dedéveloppement niv 5a 280 2400€</t>
  </si>
  <si>
    <t>CDI</t>
  </si>
  <si>
    <t>16h hebd  69h33 mensuel</t>
  </si>
  <si>
    <t>46%        525,000</t>
  </si>
  <si>
    <t>24h hebd  104h mensuel</t>
  </si>
  <si>
    <t>46%        925,000</t>
  </si>
  <si>
    <t>28h hebd  121,24h mensuel</t>
  </si>
  <si>
    <t>30h hebdo 130h mensuel</t>
  </si>
  <si>
    <t>32h hebdo 138,56h mensuel</t>
  </si>
  <si>
    <t>A1-311</t>
  </si>
  <si>
    <t>35h hebdo 151,55h mensuel</t>
  </si>
  <si>
    <t>12h hebdo égal 52h mensuel</t>
  </si>
  <si>
    <t>52h 3 mois</t>
  </si>
  <si>
    <t>17h hebd  69h33 mensuel</t>
  </si>
  <si>
    <t>75h 9 mois</t>
  </si>
  <si>
    <t>17,5h hebdo 76h mensuel</t>
  </si>
  <si>
    <t>B1-210</t>
  </si>
  <si>
    <t>encadrant  technique niv 3C 210</t>
  </si>
  <si>
    <t>35h hebdo 151h66 mens</t>
  </si>
  <si>
    <t>43%   780,00</t>
  </si>
  <si>
    <t>B2-180</t>
  </si>
  <si>
    <t>encadrant technique  niv 2b 180</t>
  </si>
  <si>
    <t xml:space="preserve">CDI </t>
  </si>
  <si>
    <t>35h hebdo  151h66</t>
  </si>
  <si>
    <t>35%      545,00</t>
  </si>
  <si>
    <t>PERMANENT Agent de Production</t>
  </si>
  <si>
    <t>9h hebdo soit 39h</t>
  </si>
  <si>
    <t>26h hebdo  112,7h</t>
  </si>
  <si>
    <t>C1-150</t>
  </si>
  <si>
    <t>agent de production</t>
  </si>
  <si>
    <t>CAE</t>
  </si>
  <si>
    <t>15% 150</t>
  </si>
  <si>
    <t>C2-150</t>
  </si>
  <si>
    <t>C3-150</t>
  </si>
  <si>
    <t>C4-150</t>
  </si>
  <si>
    <t>46% de charges en partant du net</t>
  </si>
  <si>
    <t>C5-150</t>
  </si>
  <si>
    <t xml:space="preserve">C6 </t>
  </si>
  <si>
    <t>CAE Hors ACI</t>
  </si>
  <si>
    <t>30% 150</t>
  </si>
  <si>
    <t>h encadrant</t>
  </si>
  <si>
    <t>total charges</t>
  </si>
  <si>
    <t>CAE 2011</t>
  </si>
  <si>
    <t>coût</t>
  </si>
  <si>
    <t>Salaire net</t>
  </si>
  <si>
    <t>charges TTC</t>
  </si>
  <si>
    <t>contrôle</t>
  </si>
  <si>
    <t>aide mensuelle</t>
  </si>
  <si>
    <t>aide</t>
  </si>
  <si>
    <t>4cae 2 mois</t>
  </si>
  <si>
    <t>6 CAE 7 mois</t>
  </si>
  <si>
    <t>CAE 70% 4 mois</t>
  </si>
  <si>
    <t>CAE 70% 12 mois</t>
  </si>
  <si>
    <t>TOTAUX</t>
  </si>
  <si>
    <t>Net</t>
  </si>
  <si>
    <t>TTC</t>
  </si>
  <si>
    <t>1 encadrant à 35h à 1900€ brut 5 mois</t>
  </si>
  <si>
    <t>tx de charges</t>
  </si>
  <si>
    <t>4 salariés CAE 4 mois</t>
  </si>
  <si>
    <t>aide à l'emploi</t>
  </si>
  <si>
    <t>chargé d'insertion + 16h mensuelle 4 mois</t>
  </si>
  <si>
    <t>CAE 2012</t>
  </si>
  <si>
    <t>6cae 12 mois</t>
  </si>
  <si>
    <t>Chargé d'insertion 2012</t>
  </si>
  <si>
    <t>24h hebdo</t>
  </si>
  <si>
    <t>RATIOS DE PRODUCTION DE LA REGIE DE TERRITOIRE</t>
  </si>
  <si>
    <t>R1</t>
  </si>
  <si>
    <t>R2</t>
  </si>
  <si>
    <t>R3</t>
  </si>
  <si>
    <t>Nom du chantier</t>
  </si>
  <si>
    <t>Nombre d'heures travaillées sur chantier</t>
  </si>
  <si>
    <t>Nombre d'heures travaillées du mois</t>
  </si>
  <si>
    <t>Taux de productivité</t>
  </si>
  <si>
    <t>Coût de la fourniture</t>
  </si>
  <si>
    <t>Coût de la location du matériel</t>
  </si>
  <si>
    <t>Coût total brut du chantier</t>
  </si>
  <si>
    <t>Prix horaire facturé</t>
  </si>
  <si>
    <t>Marge brute sur chantier</t>
  </si>
  <si>
    <t>Taux de marge brute sur chantier</t>
  </si>
  <si>
    <t>Frais de structure</t>
  </si>
  <si>
    <t>Coût total net du chantier</t>
  </si>
  <si>
    <t>Bénéfice sur chantier</t>
  </si>
  <si>
    <t>AOUT 2010</t>
  </si>
  <si>
    <t xml:space="preserve">Commune Freterive – mûr phase I </t>
  </si>
  <si>
    <t>Ecole de Freterive - Mairie</t>
  </si>
  <si>
    <t>Arrondis en pierre sèche</t>
  </si>
  <si>
    <t>Totaux du mois</t>
  </si>
  <si>
    <t>SEPTEMBRE 2010</t>
  </si>
  <si>
    <t>Mur Monsieur Guy LAURENT</t>
  </si>
  <si>
    <t>Mur "phase deux" couvertine et joints</t>
  </si>
  <si>
    <t>pav et plan d'eau St Jean</t>
  </si>
  <si>
    <t>Réparation maçonnerie pont St Jean de la Porte</t>
  </si>
  <si>
    <t>Intervention CPNS marais St Hélène</t>
  </si>
  <si>
    <t>OCTOBRE 2010</t>
  </si>
  <si>
    <t>Maçonnerie et pose de grillage</t>
  </si>
  <si>
    <t>Intervention CPNS CRUET FERROUX 1</t>
  </si>
  <si>
    <t>Défrichage CRUET boucle thématique</t>
  </si>
  <si>
    <t>Réfection portion de mur route de Montlambert</t>
  </si>
  <si>
    <t>mise en forme d'une dalle pour abri bus</t>
  </si>
  <si>
    <t>NOVEMBRE 2010</t>
  </si>
  <si>
    <t>Chantier chez un particulier</t>
  </si>
  <si>
    <t>Réparation chemin des barlettes</t>
  </si>
  <si>
    <t>DECEMBRE 2010</t>
  </si>
  <si>
    <t>aménagement bureaux+cage d'escallier</t>
  </si>
  <si>
    <t>débarras grenier</t>
  </si>
  <si>
    <t>Syndicat de la Bialle (dec/janvier)</t>
  </si>
  <si>
    <t>TOTAUX DE L'ANNEE</t>
  </si>
  <si>
    <t>JANVIER 2011</t>
  </si>
  <si>
    <t>FEVRIER 2011</t>
  </si>
  <si>
    <t>Cruet ferroux</t>
  </si>
  <si>
    <t>CPNS</t>
  </si>
  <si>
    <t>Riondy</t>
  </si>
  <si>
    <t>MARS 2011</t>
  </si>
  <si>
    <t>Nettoyage salle des fêtes</t>
  </si>
  <si>
    <t>chantier de la ravoire</t>
  </si>
  <si>
    <t>AVRIL 2011</t>
  </si>
  <si>
    <t>Chantier Montmélian M legouis</t>
  </si>
  <si>
    <t>Plateforme cruet ferroux</t>
  </si>
  <si>
    <t>Mr Vitton</t>
  </si>
  <si>
    <t>MAI 2011</t>
  </si>
  <si>
    <t>Attache Domaine des Ardoisières</t>
  </si>
  <si>
    <t>Chalet</t>
  </si>
  <si>
    <t>JUIN 2011</t>
  </si>
  <si>
    <t>JUILLET 2011</t>
  </si>
  <si>
    <t>Prévisionnel au 31/05/2001</t>
  </si>
  <si>
    <t xml:space="preserve">CALCUL DES FRAIS DE STRUCTURES </t>
  </si>
  <si>
    <t>Nombre d'heures de chantier total</t>
  </si>
  <si>
    <t>Coût de l'heure travaillée (prix de vente horaire minimun)</t>
  </si>
  <si>
    <t>(montant des charges moins les fournitures et locations de matériel, moins les subventions)</t>
  </si>
  <si>
    <t>Résultat</t>
  </si>
  <si>
    <t>Coût de l'heure travaillée (prix de vente horaire minimum)</t>
  </si>
  <si>
    <t>Base de Données Générales</t>
  </si>
  <si>
    <t>Classeur comprenant toutes les feuilles de gestion (Base de données, BP, CR, Ratios, Horaires salariés…) permettant de croiser et d'automatiser les données.</t>
  </si>
  <si>
    <t>Les salariés sont inscrits dans l'ordre d'entrée à la</t>
  </si>
  <si>
    <t>Régie (n° d'ordre) et non pas par ordre alphabétique</t>
  </si>
  <si>
    <t>Tableau de données à compléter</t>
  </si>
  <si>
    <t>Toutes les données concernant les salariés</t>
  </si>
  <si>
    <t>Toutes les données concernant les clients</t>
  </si>
  <si>
    <t>Les clients sont inscrits dans l'ordre des proposition</t>
  </si>
  <si>
    <t>de chantier (n° d'ordre) et non pas par ordre alphabét</t>
  </si>
  <si>
    <t>Budget Prévisionnel Annuel (1 feuille / an)</t>
  </si>
  <si>
    <t>Feuille récapitulative mensuelle (1 feui / mois)</t>
  </si>
  <si>
    <t>Résultat Comptable Annuel (1 feuille / an)</t>
  </si>
  <si>
    <t>Prévisionnel de trésorerie sur 3 ans</t>
  </si>
  <si>
    <t>Potentiel d'activités                                   (1 feuille / an)</t>
  </si>
  <si>
    <t>Le "Tableau des salaires" actuel va être intégré dans la Base de Données Générales</t>
  </si>
  <si>
    <t>Tableau de Prévision des chantiers</t>
  </si>
  <si>
    <t>Tableau à rationnaliser (1 feuille par mois ou une feuille par an)</t>
  </si>
  <si>
    <t>etc…</t>
  </si>
  <si>
    <t>Tableau de Bord de Gestion Centralisé sur un seul Classeur Excel - Régie de Territoire Cœur de Savoie"</t>
  </si>
  <si>
    <t>Chantiers                                  (1 feuille / mois)</t>
  </si>
  <si>
    <t>Ratios de                                     Production</t>
  </si>
  <si>
    <t>Entrée automatique des noms salariés avec                                                      un n° d'ordre (base de données)</t>
  </si>
  <si>
    <t>Tableau à rationaliser</t>
  </si>
  <si>
    <t>IMPORTANT : le n° d'ordre "Client" ne change pas d'année en année</t>
  </si>
  <si>
    <t>IMPORTANT : le n° d'ordre "Salarié" ne change pas d'année en année</t>
  </si>
  <si>
    <t>Nb : pour les feuilles en cours de finalisation, les cellules modifiables sont en rouge (les autres cellules sont protégées &gt;&gt;&gt; car résultat automatique)</t>
  </si>
  <si>
    <t>205, av. de la République 73198 MONTMEMIAN</t>
  </si>
  <si>
    <t>Nb heures</t>
  </si>
  <si>
    <t>Salaire brut</t>
  </si>
  <si>
    <t>Statut</t>
  </si>
  <si>
    <t>0452525252 0625784297</t>
  </si>
  <si>
    <t>Tél fixe et ou mobile</t>
  </si>
  <si>
    <t>Agent de production</t>
  </si>
  <si>
    <t>Emploi</t>
  </si>
  <si>
    <t>N° d'ordre</t>
  </si>
  <si>
    <t>65, rue de l'Epis Doré 73198 MONTMEMIAN</t>
  </si>
  <si>
    <t>45, chemin des Pervenches 73198 MONTMEMIAN</t>
  </si>
  <si>
    <t>0466525252 0624284294</t>
  </si>
  <si>
    <t>0471525251 0632784252</t>
  </si>
  <si>
    <t>5 CAE 3 mois</t>
  </si>
  <si>
    <t>Location d'un véhicule de chantier jusqu'à juin</t>
  </si>
  <si>
    <t>Numéro SS</t>
  </si>
  <si>
    <t>Téléphone</t>
  </si>
  <si>
    <t>Situation familaile (marié, célibataire, divorcé, veuf, vie maritale, pacsé)</t>
  </si>
  <si>
    <t>prescripteur</t>
  </si>
  <si>
    <t>Allocataires minima sociaux
 (RSA, ASS, API, AAH)</t>
  </si>
  <si>
    <t>Statut (moins de 26 ans, RSA, TH, demandeur d'emploi &gt; 24 mois, senior, difficultés sociales)</t>
  </si>
  <si>
    <t>Niveau de Formation</t>
  </si>
  <si>
    <t>problématique de parcours</t>
  </si>
  <si>
    <t>Piste de formations</t>
  </si>
  <si>
    <t>Formations réalisées</t>
  </si>
  <si>
    <t>Date de naissance</t>
  </si>
  <si>
    <t>Age à l'entrée en contrat</t>
  </si>
  <si>
    <t>Date de début de contrat</t>
  </si>
  <si>
    <t>Date de renouvellemennt</t>
  </si>
  <si>
    <t>Date de fin de contrat</t>
  </si>
  <si>
    <t>Motif de fin de contrat</t>
  </si>
  <si>
    <t>CAREGLIO Damien</t>
  </si>
  <si>
    <t>MEE</t>
  </si>
  <si>
    <t>RSA Couple</t>
  </si>
  <si>
    <t>RSA Couple moins de 26 ans</t>
  </si>
  <si>
    <t>3ème pas le brevet</t>
  </si>
  <si>
    <t>mobilité</t>
  </si>
  <si>
    <t>est parti du territoire, séparation d'avec sa compagne</t>
  </si>
  <si>
    <t>VEROLLET Noel</t>
  </si>
  <si>
    <t>Pole Emploi</t>
  </si>
  <si>
    <t>ASS</t>
  </si>
  <si>
    <t>pas de diplôme</t>
  </si>
  <si>
    <t>n'a pas souhaité reconduire son contrat, pas prêt à faire les démarches nécessaires au changement</t>
  </si>
  <si>
    <t>Les etourneaux, bat E, St Pierre d'Albigny</t>
  </si>
  <si>
    <t>CAP</t>
  </si>
  <si>
    <t>1er secours</t>
  </si>
  <si>
    <t>ne souhaite pas travaillé en extérieur, préfère un travail en industrie (problèmes de santé)</t>
  </si>
  <si>
    <t>chez Mr Patrick Anjot, 6 rue du soleil couchant, 17139 Dompierre sur mer</t>
  </si>
  <si>
    <t>06.28.76.24.65</t>
  </si>
  <si>
    <t>célibataire</t>
  </si>
  <si>
    <t>MEE+Pole Emploi</t>
  </si>
  <si>
    <t>RSA</t>
  </si>
  <si>
    <t>bac pro</t>
  </si>
  <si>
    <t>logement santé endettement mobilité…</t>
  </si>
  <si>
    <t>1er secours, journée d'information sur la renouée du japon</t>
  </si>
  <si>
    <t>rapprochement de son père à la rochelle (solitude ici), la régie lui a trouvé une formation à la rochelle sur l'ostreiculture (début janvier 2012)</t>
  </si>
  <si>
    <t xml:space="preserve">1 83 11 16 015 100 24 </t>
  </si>
  <si>
    <t>CAP Emploi</t>
  </si>
  <si>
    <t>RSA - Travailleur Handicapé</t>
  </si>
  <si>
    <t>travailleur handicapé, lenteur dans le travail, a fait 2 ans à terre solidaire</t>
  </si>
  <si>
    <t xml:space="preserve">1 87 04 73 011 043 03 </t>
  </si>
  <si>
    <t>06 13 11 00 97</t>
  </si>
  <si>
    <t>vie maritale</t>
  </si>
  <si>
    <t>Moins de 26 ans</t>
  </si>
  <si>
    <t>06.28.94.71.83</t>
  </si>
  <si>
    <t>Suivi spip, endettement, pas de qualification, mobilité</t>
  </si>
  <si>
    <t>Hameau du Thouvard -  115 Chemin des Abrus - 73110 La Chapelle Blanche</t>
  </si>
  <si>
    <t>06.36.90.91.31</t>
  </si>
  <si>
    <t>marié</t>
  </si>
  <si>
    <t>senior, reconnaissance TH</t>
  </si>
  <si>
    <t>senior, reconnaissance TH, informatique</t>
  </si>
  <si>
    <t>initiation informatique</t>
  </si>
  <si>
    <t xml:space="preserve">1 72 02 01 427 011 96 </t>
  </si>
  <si>
    <t>difficultés sociales</t>
  </si>
  <si>
    <t>santé, endettement, difficultés sociales, suivi spip</t>
  </si>
  <si>
    <t>Savoirs de base</t>
  </si>
  <si>
    <t>26/12/2011?</t>
  </si>
  <si>
    <t xml:space="preserve">1 92 05 97 415 862 58 </t>
  </si>
  <si>
    <t>Nouvelle adresse?</t>
  </si>
  <si>
    <t>santé, pas de qualification, mobilité</t>
  </si>
  <si>
    <t>RSA, senior</t>
  </si>
  <si>
    <t>travail trop physique pour elle</t>
  </si>
  <si>
    <t>2 77 05 60 395 028 72</t>
  </si>
  <si>
    <t>baccalauréat</t>
  </si>
  <si>
    <t>environnement familial</t>
  </si>
  <si>
    <t>1 82 09 73 065 180 26</t>
  </si>
  <si>
    <t>La Chapelle, 73800 Cruet</t>
  </si>
  <si>
    <t>Travailleur handicapé</t>
  </si>
  <si>
    <t>reconnaissance TH</t>
  </si>
  <si>
    <t>en couple</t>
  </si>
  <si>
    <t>CDI (encdrant technique)</t>
  </si>
  <si>
    <t>CDI (chargée d'insertion)</t>
  </si>
  <si>
    <t>522, chemin des corvées, le villard; 38570 le cheylas</t>
  </si>
  <si>
    <t>pacsé</t>
  </si>
  <si>
    <t>CDI (coordinatrice)</t>
  </si>
  <si>
    <t>REGISTRE DU PERSONNEL</t>
  </si>
  <si>
    <t>Numéro d'ordre</t>
  </si>
  <si>
    <t>La Gare RN6                                                                      73800 Chignin</t>
  </si>
  <si>
    <t>immeuble l'arclusaz 18, quartier de la gare, 73250 Saint Pierre d'Albigny</t>
  </si>
  <si>
    <t>HLM L’Arclusaz – Entrée A                                                      73250 Saint Pierre d’Albigny</t>
  </si>
  <si>
    <t>12 Combe Noire; Entrée A                                                      73250 Saint Pierre d’Albigny</t>
  </si>
  <si>
    <t>Les Alouettes Quartier de la Gare                                                      73250 Saint Pierre d'Albigny</t>
  </si>
  <si>
    <t xml:space="preserve">Immeuble les Belledonnes, Appartement 16, boulevard Antoine Rosset                                     73110 La Rochette </t>
  </si>
  <si>
    <t>Chef Lieu                                                           73630 Jarsy</t>
  </si>
  <si>
    <t>Visite médicale</t>
  </si>
  <si>
    <t>Nom - Prénom</t>
  </si>
  <si>
    <t>CRISTOFAIA Orlando</t>
  </si>
  <si>
    <t>ANJOT Brice</t>
  </si>
  <si>
    <t>AUBIN Mathieu</t>
  </si>
  <si>
    <t>EL YOUSFI Mohamed</t>
  </si>
  <si>
    <t>BOURCOIS Kevin</t>
  </si>
  <si>
    <t>CHIARI Marc</t>
  </si>
  <si>
    <t>PRINCE Justin</t>
  </si>
  <si>
    <t>PROBI Maryvonne</t>
  </si>
  <si>
    <t>MARTHE Angélique</t>
  </si>
  <si>
    <t>BOUCHET Laurent</t>
  </si>
  <si>
    <t>HOURQUIN Kevin</t>
  </si>
  <si>
    <t>BARBIER Nicolas</t>
  </si>
  <si>
    <t>REMEUF Fabienne</t>
  </si>
  <si>
    <t>MARRON Audrey</t>
  </si>
  <si>
    <t>OLIVATO Sébastien</t>
  </si>
  <si>
    <t xml:space="preserve">1 90 05 08 363 019 15 </t>
  </si>
  <si>
    <r>
      <t>1 57 01 74 056 004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87</t>
    </r>
    <r>
      <rPr>
        <sz val="10"/>
        <color indexed="10"/>
        <rFont val="Arial"/>
        <family val="2"/>
      </rPr>
      <t xml:space="preserve"> </t>
    </r>
  </si>
  <si>
    <t>2 75 05 38 185 185 20</t>
  </si>
  <si>
    <t xml:space="preserve">2 69 08 39 441 001 17 </t>
  </si>
  <si>
    <t>1 75 12 54 304 021 30</t>
  </si>
  <si>
    <t>Janvier 2012</t>
  </si>
  <si>
    <t>Février 2012</t>
  </si>
  <si>
    <t>Mardi 3</t>
  </si>
  <si>
    <t>Mercredi 4</t>
  </si>
  <si>
    <t>Jeudi 5</t>
  </si>
  <si>
    <t>Vendredi 6</t>
  </si>
  <si>
    <t>Lundi 9</t>
  </si>
  <si>
    <t>Mardi 10</t>
  </si>
  <si>
    <t>Mercredi 11</t>
  </si>
  <si>
    <t>Jeudi 12</t>
  </si>
  <si>
    <t>Vendredi 13</t>
  </si>
  <si>
    <t>Lundi 16</t>
  </si>
  <si>
    <t>Mardi 17</t>
  </si>
  <si>
    <t>Mercredi 18</t>
  </si>
  <si>
    <t>Jeudi 19</t>
  </si>
  <si>
    <t>Vendredi 20</t>
  </si>
  <si>
    <t>Lundi 23</t>
  </si>
  <si>
    <t>Mardi 24</t>
  </si>
  <si>
    <t>Mercredi 25</t>
  </si>
  <si>
    <t>Jeudi 26</t>
  </si>
  <si>
    <t>Vendredi 27</t>
  </si>
  <si>
    <t>Lundi 30</t>
  </si>
  <si>
    <t>Mardi 31</t>
  </si>
  <si>
    <t>Lundi 2</t>
  </si>
  <si>
    <t>Mercredi 1</t>
  </si>
  <si>
    <t>Jeudi 2</t>
  </si>
  <si>
    <t>Vendredi 3</t>
  </si>
  <si>
    <t>Lundi 6</t>
  </si>
  <si>
    <t>Mardi 7</t>
  </si>
  <si>
    <t>Mercredi 8</t>
  </si>
  <si>
    <t>Jeudi 9</t>
  </si>
  <si>
    <t>Vendredi 10</t>
  </si>
  <si>
    <t>Lundi 13</t>
  </si>
  <si>
    <t>Mardi 14</t>
  </si>
  <si>
    <t>Mercredi 15</t>
  </si>
  <si>
    <t>Jeudi 16</t>
  </si>
  <si>
    <t>Vendredi 17</t>
  </si>
  <si>
    <t>Lundi 20</t>
  </si>
  <si>
    <t>Mardi 21</t>
  </si>
  <si>
    <t>Mercredi 22</t>
  </si>
  <si>
    <t>Jeudi 23</t>
  </si>
  <si>
    <t>Vendredi 24</t>
  </si>
  <si>
    <t>Lundi 27</t>
  </si>
  <si>
    <t>Mardi 28</t>
  </si>
  <si>
    <t>Mercredi 29</t>
  </si>
  <si>
    <t>Nombres d'heures salariés journalières fournies / client</t>
  </si>
</sst>
</file>

<file path=xl/styles.xml><?xml version="1.0" encoding="utf-8"?>
<styleSheet xmlns="http://schemas.openxmlformats.org/spreadsheetml/2006/main">
  <numFmts count="15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3" formatCode="_-* #,##0.00\ _€_-;\-* #,##0.00\ _€_-;_-* &quot;-&quot;??\ _€_-;_-@_-"/>
    <numFmt numFmtId="164" formatCode="_-* #,##0.00&quot; €&quot;_-;\-* #,##0.00&quot; €&quot;_-;_-* \-??&quot; €&quot;_-;_-@_-"/>
    <numFmt numFmtId="165" formatCode="h:mm;@"/>
    <numFmt numFmtId="166" formatCode="[$-F800]dddd\,\ mmmm\ dd\,\ yyyy"/>
    <numFmt numFmtId="167" formatCode="0.0"/>
    <numFmt numFmtId="168" formatCode="#,##0.0"/>
    <numFmt numFmtId="169" formatCode="#,##0.00\ &quot;€&quot;"/>
    <numFmt numFmtId="170" formatCode="dd/mm/yy;@"/>
    <numFmt numFmtId="171" formatCode="_-* #,##0&quot; €&quot;_-;\-* #,##0&quot; €&quot;_-;_-* \-??&quot; €&quot;_-;_-@_-"/>
    <numFmt numFmtId="172" formatCode="#,##0\ &quot;€&quot;"/>
    <numFmt numFmtId="174" formatCode="#,##0\ _€"/>
    <numFmt numFmtId="175" formatCode="_-* #,##0.00\ _€_-;\-* #,##0.00\ _€_-;_-* \-??\ _€_-;_-@_-"/>
  </numFmts>
  <fonts count="1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b/>
      <sz val="13"/>
      <color indexed="8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u/>
      <sz val="10"/>
      <name val="Calibri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indexed="10"/>
      <name val="Calibri"/>
      <family val="2"/>
    </font>
    <font>
      <b/>
      <sz val="10"/>
      <color indexed="48"/>
      <name val="Arial"/>
      <family val="2"/>
    </font>
    <font>
      <b/>
      <sz val="8"/>
      <color indexed="30"/>
      <name val="Arial"/>
      <family val="2"/>
    </font>
    <font>
      <b/>
      <sz val="10"/>
      <color indexed="30"/>
      <name val="Arial"/>
      <family val="2"/>
    </font>
    <font>
      <sz val="10"/>
      <color indexed="48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30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Arial"/>
      <family val="2"/>
    </font>
    <font>
      <sz val="12"/>
      <color indexed="81"/>
      <name val="Arial"/>
      <family val="2"/>
    </font>
    <font>
      <sz val="9"/>
      <color indexed="3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Tahoma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i/>
      <sz val="9"/>
      <color rgb="FF7030A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11"/>
      <color rgb="FFFF0000"/>
      <name val="Arial"/>
      <family val="2"/>
    </font>
    <font>
      <sz val="13"/>
      <color theme="1"/>
      <name val="Arial Black"/>
      <family val="2"/>
    </font>
    <font>
      <sz val="9"/>
      <color theme="1"/>
      <name val="Arial"/>
      <family val="2"/>
    </font>
    <font>
      <b/>
      <sz val="8"/>
      <color theme="9" tint="-0.499984740745262"/>
      <name val="Arial"/>
      <family val="2"/>
    </font>
    <font>
      <sz val="13"/>
      <color theme="1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indexed="8"/>
      <name val="Arial Black"/>
      <family val="2"/>
    </font>
    <font>
      <sz val="16"/>
      <name val="Arial Black"/>
      <family val="2"/>
    </font>
    <font>
      <sz val="14"/>
      <name val="Arial Black"/>
      <family val="2"/>
    </font>
    <font>
      <sz val="12"/>
      <color rgb="FFFF0000"/>
      <name val="Arial Black"/>
      <family val="2"/>
    </font>
    <font>
      <sz val="11"/>
      <color theme="1"/>
      <name val="Arial Black"/>
      <family val="2"/>
    </font>
    <font>
      <sz val="16"/>
      <color theme="1"/>
      <name val="Calibri"/>
      <family val="2"/>
      <scheme val="minor"/>
    </font>
    <font>
      <b/>
      <sz val="12"/>
      <color indexed="8"/>
      <name val="Arial Black"/>
      <family val="2"/>
    </font>
    <font>
      <b/>
      <sz val="12"/>
      <color theme="1"/>
      <name val="Arial Black"/>
      <family val="2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6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9CA6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23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3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8"/>
      </right>
      <top/>
      <bottom style="thin">
        <color indexed="64"/>
      </bottom>
      <diagonal/>
    </border>
    <border>
      <left style="thick">
        <color indexed="64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8"/>
      </right>
      <top style="thin">
        <color indexed="64"/>
      </top>
      <bottom/>
      <diagonal/>
    </border>
    <border>
      <left style="thick">
        <color indexed="8"/>
      </left>
      <right style="medium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n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medium">
        <color indexed="8"/>
      </top>
      <bottom style="thick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8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9" fillId="2" borderId="1" applyNumberFormat="0" applyAlignment="0" applyProtection="0"/>
    <xf numFmtId="0" fontId="10" fillId="0" borderId="2" applyNumberFormat="0" applyFill="0" applyAlignment="0" applyProtection="0"/>
    <xf numFmtId="0" fontId="16" fillId="11" borderId="3" applyNumberFormat="0" applyAlignment="0" applyProtection="0"/>
    <xf numFmtId="0" fontId="7" fillId="5" borderId="1" applyNumberFormat="0" applyAlignment="0" applyProtection="0"/>
    <xf numFmtId="0" fontId="1" fillId="0" borderId="0"/>
    <xf numFmtId="0" fontId="5" fillId="12" borderId="0" applyNumberFormat="0" applyBorder="0" applyAlignment="0" applyProtection="0"/>
    <xf numFmtId="43" fontId="3" fillId="0" borderId="0" applyFont="0" applyFill="0" applyBorder="0" applyAlignment="0" applyProtection="0"/>
    <xf numFmtId="164" fontId="16" fillId="0" borderId="0" applyFill="0" applyBorder="0" applyAlignment="0" applyProtection="0"/>
    <xf numFmtId="164" fontId="1" fillId="0" borderId="0"/>
    <xf numFmtId="0" fontId="6" fillId="13" borderId="0" applyNumberFormat="0" applyBorder="0" applyAlignment="0" applyProtection="0"/>
    <xf numFmtId="0" fontId="16" fillId="0" borderId="0">
      <alignment vertical="center"/>
    </xf>
    <xf numFmtId="0" fontId="21" fillId="0" borderId="0"/>
    <xf numFmtId="9" fontId="16" fillId="0" borderId="0" applyFill="0" applyBorder="0" applyAlignment="0" applyProtection="0"/>
    <xf numFmtId="0" fontId="4" fillId="14" borderId="0" applyNumberFormat="0" applyBorder="0" applyAlignment="0" applyProtection="0"/>
    <xf numFmtId="0" fontId="8" fillId="2" borderId="4" applyNumberFormat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1" fillId="8" borderId="8" applyNumberFormat="0" applyAlignment="0" applyProtection="0"/>
  </cellStyleXfs>
  <cellXfs count="1295">
    <xf numFmtId="0" fontId="0" fillId="0" borderId="0" xfId="0"/>
    <xf numFmtId="0" fontId="2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/>
    <xf numFmtId="1" fontId="22" fillId="0" borderId="0" xfId="0" applyNumberFormat="1" applyFont="1" applyAlignment="1">
      <alignment horizontal="center" vertical="center"/>
    </xf>
    <xf numFmtId="0" fontId="78" fillId="0" borderId="0" xfId="0" applyFont="1" applyAlignment="1">
      <alignment horizontal="center"/>
    </xf>
    <xf numFmtId="167" fontId="23" fillId="0" borderId="0" xfId="0" applyNumberFormat="1" applyFont="1" applyAlignment="1">
      <alignment vertical="center" textRotation="90"/>
    </xf>
    <xf numFmtId="0" fontId="23" fillId="0" borderId="0" xfId="0" applyFont="1" applyAlignment="1">
      <alignment horizontal="center"/>
    </xf>
    <xf numFmtId="167" fontId="78" fillId="0" borderId="26" xfId="0" applyNumberFormat="1" applyFont="1" applyBorder="1" applyAlignment="1" applyProtection="1">
      <alignment horizontal="center" vertical="center"/>
      <protection locked="0"/>
    </xf>
    <xf numFmtId="167" fontId="78" fillId="0" borderId="27" xfId="0" applyNumberFormat="1" applyFont="1" applyBorder="1" applyAlignment="1" applyProtection="1">
      <alignment horizontal="center" vertical="center"/>
      <protection locked="0"/>
    </xf>
    <xf numFmtId="167" fontId="78" fillId="0" borderId="31" xfId="0" applyNumberFormat="1" applyFont="1" applyBorder="1" applyAlignment="1" applyProtection="1">
      <alignment horizontal="center" vertical="center"/>
      <protection locked="0"/>
    </xf>
    <xf numFmtId="167" fontId="78" fillId="0" borderId="32" xfId="0" applyNumberFormat="1" applyFont="1" applyBorder="1" applyAlignment="1" applyProtection="1">
      <alignment horizontal="center" vertical="center"/>
      <protection locked="0"/>
    </xf>
    <xf numFmtId="0" fontId="31" fillId="0" borderId="33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167" fontId="16" fillId="0" borderId="30" xfId="0" applyNumberFormat="1" applyFont="1" applyBorder="1" applyAlignment="1" applyProtection="1">
      <alignment horizontal="center" vertical="center"/>
    </xf>
    <xf numFmtId="167" fontId="16" fillId="0" borderId="31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31" fillId="0" borderId="34" xfId="0" applyFont="1" applyBorder="1" applyAlignment="1" applyProtection="1">
      <alignment horizontal="center" vertical="center"/>
    </xf>
    <xf numFmtId="167" fontId="16" fillId="0" borderId="25" xfId="0" applyNumberFormat="1" applyFont="1" applyBorder="1" applyAlignment="1" applyProtection="1">
      <alignment horizontal="center" vertical="center"/>
    </xf>
    <xf numFmtId="167" fontId="16" fillId="0" borderId="26" xfId="0" applyNumberFormat="1" applyFont="1" applyBorder="1" applyAlignment="1" applyProtection="1">
      <alignment horizontal="center" vertical="center"/>
    </xf>
    <xf numFmtId="167" fontId="28" fillId="0" borderId="19" xfId="0" applyNumberFormat="1" applyFont="1" applyBorder="1" applyAlignment="1" applyProtection="1">
      <alignment horizontal="center" vertical="center" textRotation="90"/>
    </xf>
    <xf numFmtId="167" fontId="28" fillId="0" borderId="17" xfId="0" applyNumberFormat="1" applyFont="1" applyBorder="1" applyAlignment="1" applyProtection="1">
      <alignment horizontal="center" vertical="center" textRotation="90"/>
    </xf>
    <xf numFmtId="167" fontId="28" fillId="0" borderId="20" xfId="0" applyNumberFormat="1" applyFont="1" applyBorder="1" applyAlignment="1" applyProtection="1">
      <alignment horizontal="center" vertical="center" textRotation="90"/>
    </xf>
    <xf numFmtId="167" fontId="28" fillId="0" borderId="21" xfId="0" applyNumberFormat="1" applyFont="1" applyBorder="1" applyAlignment="1" applyProtection="1">
      <alignment horizontal="center" vertical="center" textRotation="90"/>
    </xf>
    <xf numFmtId="167" fontId="28" fillId="0" borderId="22" xfId="0" applyNumberFormat="1" applyFont="1" applyBorder="1" applyAlignment="1" applyProtection="1">
      <alignment horizontal="center" vertical="center" textRotation="90"/>
    </xf>
    <xf numFmtId="167" fontId="28" fillId="0" borderId="10" xfId="0" applyNumberFormat="1" applyFont="1" applyBorder="1" applyAlignment="1" applyProtection="1">
      <alignment horizontal="center" vertical="center" textRotation="90"/>
    </xf>
    <xf numFmtId="167" fontId="28" fillId="0" borderId="11" xfId="0" applyNumberFormat="1" applyFont="1" applyBorder="1" applyAlignment="1" applyProtection="1">
      <alignment horizontal="center" vertical="center" textRotation="90"/>
    </xf>
    <xf numFmtId="167" fontId="28" fillId="0" borderId="0" xfId="0" applyNumberFormat="1" applyFont="1" applyAlignment="1" applyProtection="1">
      <alignment vertical="center" textRotation="90"/>
    </xf>
    <xf numFmtId="2" fontId="16" fillId="0" borderId="16" xfId="0" applyNumberFormat="1" applyFont="1" applyBorder="1" applyAlignment="1" applyProtection="1">
      <alignment horizontal="center" vertical="center" textRotation="90"/>
    </xf>
    <xf numFmtId="2" fontId="16" fillId="0" borderId="15" xfId="0" applyNumberFormat="1" applyFont="1" applyBorder="1" applyAlignment="1" applyProtection="1">
      <alignment horizontal="center" vertical="center" textRotation="90"/>
    </xf>
    <xf numFmtId="2" fontId="28" fillId="0" borderId="13" xfId="0" applyNumberFormat="1" applyFont="1" applyBorder="1" applyAlignment="1" applyProtection="1">
      <alignment horizontal="center" vertical="center" textRotation="90"/>
    </xf>
    <xf numFmtId="0" fontId="30" fillId="18" borderId="14" xfId="0" applyFont="1" applyFill="1" applyBorder="1" applyAlignment="1" applyProtection="1">
      <alignment horizontal="center" vertical="center" wrapText="1"/>
    </xf>
    <xf numFmtId="2" fontId="25" fillId="0" borderId="14" xfId="0" applyNumberFormat="1" applyFont="1" applyBorder="1" applyAlignment="1" applyProtection="1">
      <alignment horizontal="center" vertical="center" wrapText="1"/>
    </xf>
    <xf numFmtId="2" fontId="25" fillId="0" borderId="13" xfId="0" applyNumberFormat="1" applyFont="1" applyBorder="1" applyAlignment="1" applyProtection="1">
      <alignment horizontal="center" vertical="center" textRotation="90" wrapText="1"/>
    </xf>
    <xf numFmtId="2" fontId="25" fillId="0" borderId="16" xfId="0" applyNumberFormat="1" applyFont="1" applyBorder="1" applyAlignment="1" applyProtection="1">
      <alignment horizontal="center" vertical="center" textRotation="90" wrapText="1"/>
    </xf>
    <xf numFmtId="2" fontId="25" fillId="0" borderId="40" xfId="0" applyNumberFormat="1" applyFont="1" applyBorder="1" applyAlignment="1" applyProtection="1">
      <alignment horizontal="center" vertical="center" textRotation="90" wrapText="1"/>
    </xf>
    <xf numFmtId="168" fontId="25" fillId="0" borderId="19" xfId="0" applyNumberFormat="1" applyFont="1" applyBorder="1" applyAlignment="1" applyProtection="1">
      <alignment horizontal="center" vertical="center"/>
    </xf>
    <xf numFmtId="168" fontId="25" fillId="0" borderId="17" xfId="0" applyNumberFormat="1" applyFont="1" applyBorder="1" applyAlignment="1" applyProtection="1">
      <alignment horizontal="center" vertical="center"/>
    </xf>
    <xf numFmtId="167" fontId="25" fillId="0" borderId="17" xfId="0" applyNumberFormat="1" applyFont="1" applyBorder="1" applyAlignment="1" applyProtection="1">
      <alignment horizontal="center" vertical="center" textRotation="90"/>
    </xf>
    <xf numFmtId="169" fontId="16" fillId="0" borderId="0" xfId="0" applyNumberFormat="1" applyFont="1" applyBorder="1" applyAlignment="1" applyProtection="1">
      <alignment horizontal="center" vertical="center"/>
    </xf>
    <xf numFmtId="169" fontId="16" fillId="0" borderId="9" xfId="0" applyNumberFormat="1" applyFont="1" applyBorder="1" applyAlignment="1" applyProtection="1">
      <alignment horizontal="center" vertical="center"/>
    </xf>
    <xf numFmtId="169" fontId="25" fillId="0" borderId="41" xfId="0" applyNumberFormat="1" applyFont="1" applyBorder="1" applyAlignment="1" applyProtection="1">
      <alignment horizontal="center" vertical="center" textRotation="90" wrapText="1"/>
    </xf>
    <xf numFmtId="169" fontId="28" fillId="0" borderId="42" xfId="0" applyNumberFormat="1" applyFont="1" applyBorder="1" applyAlignment="1" applyProtection="1">
      <alignment horizontal="center" vertical="center"/>
    </xf>
    <xf numFmtId="169" fontId="28" fillId="0" borderId="43" xfId="0" applyNumberFormat="1" applyFont="1" applyBorder="1" applyAlignment="1" applyProtection="1">
      <alignment horizontal="center" vertical="center"/>
    </xf>
    <xf numFmtId="167" fontId="32" fillId="0" borderId="0" xfId="0" applyNumberFormat="1" applyFont="1" applyBorder="1" applyAlignment="1" applyProtection="1">
      <alignment horizontal="left" vertical="center"/>
    </xf>
    <xf numFmtId="167" fontId="25" fillId="0" borderId="10" xfId="0" applyNumberFormat="1" applyFont="1" applyBorder="1" applyAlignment="1" applyProtection="1">
      <alignment horizontal="left" vertical="center" textRotation="90"/>
    </xf>
    <xf numFmtId="0" fontId="16" fillId="0" borderId="0" xfId="0" applyFont="1" applyAlignment="1" applyProtection="1">
      <alignment horizontal="center" vertical="center"/>
    </xf>
    <xf numFmtId="0" fontId="28" fillId="18" borderId="39" xfId="0" applyFont="1" applyFill="1" applyBorder="1" applyAlignment="1" applyProtection="1">
      <alignment horizontal="center" vertical="center" textRotation="90"/>
    </xf>
    <xf numFmtId="0" fontId="16" fillId="0" borderId="9" xfId="0" applyFont="1" applyBorder="1" applyAlignment="1" applyProtection="1">
      <alignment vertical="center"/>
    </xf>
    <xf numFmtId="167" fontId="16" fillId="0" borderId="9" xfId="0" applyNumberFormat="1" applyFont="1" applyBorder="1" applyAlignment="1" applyProtection="1">
      <alignment horizontal="left" vertical="center"/>
    </xf>
    <xf numFmtId="167" fontId="16" fillId="0" borderId="0" xfId="0" applyNumberFormat="1" applyFont="1" applyBorder="1" applyAlignment="1" applyProtection="1">
      <alignment horizontal="left" vertical="center"/>
    </xf>
    <xf numFmtId="2" fontId="16" fillId="0" borderId="0" xfId="0" applyNumberFormat="1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169" fontId="16" fillId="0" borderId="0" xfId="0" applyNumberFormat="1" applyFont="1" applyAlignment="1" applyProtection="1">
      <alignment horizontal="center" vertical="center"/>
    </xf>
    <xf numFmtId="169" fontId="28" fillId="0" borderId="0" xfId="0" applyNumberFormat="1" applyFont="1" applyAlignment="1" applyProtection="1">
      <alignment horizontal="center" vertical="center"/>
    </xf>
    <xf numFmtId="2" fontId="16" fillId="0" borderId="0" xfId="0" applyNumberFormat="1" applyFont="1" applyAlignment="1" applyProtection="1">
      <alignment horizontal="left" vertical="center"/>
    </xf>
    <xf numFmtId="165" fontId="16" fillId="0" borderId="0" xfId="0" applyNumberFormat="1" applyFont="1" applyAlignment="1" applyProtection="1">
      <alignment horizontal="center" vertical="center"/>
    </xf>
    <xf numFmtId="165" fontId="16" fillId="0" borderId="0" xfId="0" applyNumberFormat="1" applyFont="1" applyAlignment="1" applyProtection="1">
      <alignment horizontal="left" vertical="center"/>
    </xf>
    <xf numFmtId="169" fontId="25" fillId="0" borderId="15" xfId="0" applyNumberFormat="1" applyFont="1" applyBorder="1" applyAlignment="1" applyProtection="1">
      <alignment horizontal="center" vertical="center" textRotation="90" wrapText="1"/>
    </xf>
    <xf numFmtId="169" fontId="25" fillId="0" borderId="22" xfId="0" applyNumberFormat="1" applyFont="1" applyBorder="1" applyAlignment="1" applyProtection="1">
      <alignment horizontal="center" vertical="center" textRotation="90"/>
    </xf>
    <xf numFmtId="169" fontId="29" fillId="0" borderId="32" xfId="0" applyNumberFormat="1" applyFont="1" applyBorder="1" applyAlignment="1" applyProtection="1">
      <alignment horizontal="center" vertical="center"/>
    </xf>
    <xf numFmtId="169" fontId="29" fillId="0" borderId="27" xfId="0" applyNumberFormat="1" applyFont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169" fontId="22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70" fontId="2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0" fillId="0" borderId="0" xfId="0"/>
    <xf numFmtId="0" fontId="79" fillId="0" borderId="44" xfId="37" applyFont="1" applyBorder="1" applyAlignment="1" applyProtection="1">
      <alignment vertical="center"/>
      <protection locked="0"/>
    </xf>
    <xf numFmtId="0" fontId="78" fillId="0" borderId="45" xfId="0" applyFont="1" applyBorder="1" applyAlignment="1" applyProtection="1">
      <alignment horizontal="center" vertical="center" wrapText="1"/>
      <protection locked="0"/>
    </xf>
    <xf numFmtId="0" fontId="78" fillId="0" borderId="45" xfId="0" applyFont="1" applyBorder="1" applyAlignment="1" applyProtection="1">
      <alignment horizontal="center" vertical="center"/>
      <protection locked="0"/>
    </xf>
    <xf numFmtId="169" fontId="78" fillId="0" borderId="45" xfId="0" applyNumberFormat="1" applyFont="1" applyBorder="1" applyAlignment="1" applyProtection="1">
      <alignment horizontal="center" vertical="center"/>
      <protection locked="0"/>
    </xf>
    <xf numFmtId="0" fontId="79" fillId="0" borderId="29" xfId="37" applyFont="1" applyBorder="1" applyAlignment="1" applyProtection="1">
      <alignment vertical="center"/>
      <protection locked="0"/>
    </xf>
    <xf numFmtId="0" fontId="78" fillId="0" borderId="26" xfId="0" applyFont="1" applyBorder="1" applyAlignment="1" applyProtection="1">
      <alignment horizontal="center" vertical="center"/>
      <protection locked="0"/>
    </xf>
    <xf numFmtId="169" fontId="78" fillId="0" borderId="26" xfId="0" applyNumberFormat="1" applyFont="1" applyBorder="1" applyAlignment="1" applyProtection="1">
      <alignment horizontal="center" vertical="center"/>
      <protection locked="0"/>
    </xf>
    <xf numFmtId="0" fontId="79" fillId="0" borderId="46" xfId="37" applyFont="1" applyBorder="1" applyAlignment="1" applyProtection="1">
      <alignment vertical="center"/>
      <protection locked="0"/>
    </xf>
    <xf numFmtId="0" fontId="78" fillId="0" borderId="47" xfId="0" applyFont="1" applyBorder="1" applyAlignment="1" applyProtection="1">
      <alignment horizontal="center" vertical="center"/>
      <protection locked="0"/>
    </xf>
    <xf numFmtId="169" fontId="78" fillId="0" borderId="47" xfId="0" applyNumberFormat="1" applyFont="1" applyBorder="1" applyAlignment="1" applyProtection="1">
      <alignment horizontal="center" vertical="center"/>
      <protection locked="0"/>
    </xf>
    <xf numFmtId="0" fontId="80" fillId="18" borderId="48" xfId="0" applyFont="1" applyFill="1" applyBorder="1" applyAlignment="1">
      <alignment horizontal="center" vertical="center"/>
    </xf>
    <xf numFmtId="0" fontId="80" fillId="18" borderId="49" xfId="0" applyFont="1" applyFill="1" applyBorder="1" applyAlignment="1">
      <alignment horizontal="center" vertical="center"/>
    </xf>
    <xf numFmtId="0" fontId="80" fillId="18" borderId="50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9" fillId="18" borderId="0" xfId="0" applyFont="1" applyFill="1" applyBorder="1" applyAlignment="1" applyProtection="1">
      <alignment horizontal="center" vertical="center" wrapText="1"/>
    </xf>
    <xf numFmtId="0" fontId="39" fillId="18" borderId="45" xfId="0" applyFont="1" applyFill="1" applyBorder="1" applyAlignment="1" applyProtection="1">
      <alignment horizontal="center" vertical="center" wrapText="1"/>
    </xf>
    <xf numFmtId="0" fontId="39" fillId="18" borderId="51" xfId="0" applyFont="1" applyFill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center" vertical="center"/>
    </xf>
    <xf numFmtId="0" fontId="80" fillId="0" borderId="48" xfId="0" applyFont="1" applyBorder="1" applyAlignment="1" applyProtection="1">
      <alignment horizontal="center" vertical="center"/>
    </xf>
    <xf numFmtId="0" fontId="80" fillId="0" borderId="49" xfId="0" applyFont="1" applyBorder="1" applyAlignment="1" applyProtection="1">
      <alignment horizontal="center" vertical="center"/>
    </xf>
    <xf numFmtId="0" fontId="80" fillId="0" borderId="50" xfId="0" applyFont="1" applyBorder="1" applyAlignment="1" applyProtection="1">
      <alignment horizontal="center" vertical="center"/>
    </xf>
    <xf numFmtId="0" fontId="81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3" fillId="18" borderId="17" xfId="0" applyFont="1" applyFill="1" applyBorder="1" applyAlignment="1">
      <alignment horizontal="center" vertical="center" wrapText="1"/>
    </xf>
    <xf numFmtId="169" fontId="23" fillId="18" borderId="17" xfId="0" applyNumberFormat="1" applyFont="1" applyFill="1" applyBorder="1" applyAlignment="1">
      <alignment horizontal="center" vertical="center" wrapText="1"/>
    </xf>
    <xf numFmtId="0" fontId="23" fillId="18" borderId="11" xfId="0" applyFont="1" applyFill="1" applyBorder="1" applyAlignment="1">
      <alignment horizontal="center" vertical="center" wrapText="1"/>
    </xf>
    <xf numFmtId="167" fontId="25" fillId="0" borderId="0" xfId="0" applyNumberFormat="1" applyFont="1" applyAlignment="1" applyProtection="1">
      <alignment horizontal="center" vertical="center"/>
    </xf>
    <xf numFmtId="1" fontId="78" fillId="0" borderId="52" xfId="0" applyNumberFormat="1" applyFont="1" applyBorder="1" applyAlignment="1" applyProtection="1">
      <alignment horizontal="center" vertical="center"/>
      <protection locked="0"/>
    </xf>
    <xf numFmtId="1" fontId="78" fillId="0" borderId="53" xfId="0" applyNumberFormat="1" applyFont="1" applyBorder="1" applyAlignment="1" applyProtection="1">
      <alignment horizontal="center" vertical="center"/>
      <protection locked="0"/>
    </xf>
    <xf numFmtId="1" fontId="78" fillId="0" borderId="54" xfId="0" applyNumberFormat="1" applyFont="1" applyBorder="1" applyAlignment="1" applyProtection="1">
      <alignment horizontal="center" vertical="center"/>
      <protection locked="0"/>
    </xf>
    <xf numFmtId="169" fontId="80" fillId="0" borderId="10" xfId="0" applyNumberFormat="1" applyFont="1" applyBorder="1" applyAlignment="1">
      <alignment horizontal="right" vertical="center"/>
    </xf>
    <xf numFmtId="0" fontId="79" fillId="0" borderId="44" xfId="37" applyFont="1" applyBorder="1" applyAlignment="1" applyProtection="1">
      <alignment horizontal="left" vertical="center"/>
      <protection locked="0"/>
    </xf>
    <xf numFmtId="0" fontId="78" fillId="0" borderId="55" xfId="0" applyFont="1" applyBorder="1" applyAlignment="1" applyProtection="1">
      <alignment horizontal="center" vertical="center" wrapText="1"/>
      <protection locked="0"/>
    </xf>
    <xf numFmtId="0" fontId="78" fillId="0" borderId="56" xfId="0" applyFont="1" applyBorder="1" applyAlignment="1" applyProtection="1">
      <alignment horizontal="center" vertical="center" wrapText="1"/>
      <protection locked="0"/>
    </xf>
    <xf numFmtId="0" fontId="78" fillId="0" borderId="57" xfId="0" applyFont="1" applyBorder="1" applyAlignment="1" applyProtection="1">
      <alignment horizontal="center" vertical="center" wrapText="1"/>
      <protection locked="0"/>
    </xf>
    <xf numFmtId="0" fontId="78" fillId="0" borderId="58" xfId="0" applyFont="1" applyBorder="1" applyAlignment="1" applyProtection="1">
      <alignment horizontal="center" vertical="center" wrapText="1"/>
      <protection locked="0"/>
    </xf>
    <xf numFmtId="0" fontId="79" fillId="0" borderId="29" xfId="37" applyFont="1" applyBorder="1" applyAlignment="1" applyProtection="1">
      <alignment horizontal="left" vertical="center"/>
      <protection locked="0"/>
    </xf>
    <xf numFmtId="0" fontId="78" fillId="0" borderId="9" xfId="0" applyFont="1" applyBorder="1" applyAlignment="1" applyProtection="1">
      <alignment horizontal="center" vertical="center" wrapText="1"/>
      <protection locked="0"/>
    </xf>
    <xf numFmtId="0" fontId="78" fillId="0" borderId="59" xfId="0" applyFont="1" applyBorder="1" applyAlignment="1" applyProtection="1">
      <alignment horizontal="center" vertical="center" wrapText="1"/>
      <protection locked="0"/>
    </xf>
    <xf numFmtId="0" fontId="78" fillId="0" borderId="43" xfId="0" applyFont="1" applyBorder="1" applyAlignment="1" applyProtection="1">
      <alignment horizontal="center" vertical="center" wrapText="1"/>
      <protection locked="0"/>
    </xf>
    <xf numFmtId="0" fontId="78" fillId="0" borderId="26" xfId="0" applyFont="1" applyBorder="1" applyAlignment="1" applyProtection="1">
      <alignment horizontal="center" vertical="center" wrapText="1"/>
      <protection locked="0"/>
    </xf>
    <xf numFmtId="0" fontId="78" fillId="0" borderId="60" xfId="0" applyFont="1" applyBorder="1" applyAlignment="1" applyProtection="1">
      <alignment horizontal="center" vertical="center" wrapText="1"/>
      <protection locked="0"/>
    </xf>
    <xf numFmtId="0" fontId="79" fillId="0" borderId="46" xfId="37" applyFont="1" applyBorder="1" applyAlignment="1" applyProtection="1">
      <alignment horizontal="left" vertical="center"/>
      <protection locked="0"/>
    </xf>
    <xf numFmtId="0" fontId="78" fillId="0" borderId="61" xfId="0" applyFont="1" applyBorder="1" applyAlignment="1" applyProtection="1">
      <alignment horizontal="center" vertical="center" wrapText="1"/>
      <protection locked="0"/>
    </xf>
    <xf numFmtId="0" fontId="78" fillId="0" borderId="62" xfId="0" applyFont="1" applyBorder="1" applyAlignment="1" applyProtection="1">
      <alignment horizontal="center" vertical="center" wrapText="1"/>
      <protection locked="0"/>
    </xf>
    <xf numFmtId="0" fontId="78" fillId="0" borderId="63" xfId="0" applyFont="1" applyBorder="1" applyAlignment="1" applyProtection="1">
      <alignment horizontal="center" vertical="center" wrapText="1"/>
      <protection locked="0"/>
    </xf>
    <xf numFmtId="0" fontId="78" fillId="0" borderId="47" xfId="0" applyFont="1" applyBorder="1" applyAlignment="1" applyProtection="1">
      <alignment horizontal="center" vertical="center" wrapText="1"/>
      <protection locked="0"/>
    </xf>
    <xf numFmtId="0" fontId="78" fillId="0" borderId="64" xfId="0" applyFont="1" applyBorder="1" applyAlignment="1" applyProtection="1">
      <alignment horizontal="center" vertical="center" wrapText="1"/>
      <protection locked="0"/>
    </xf>
    <xf numFmtId="167" fontId="32" fillId="0" borderId="34" xfId="0" applyNumberFormat="1" applyFont="1" applyBorder="1" applyAlignment="1" applyProtection="1">
      <alignment horizontal="left" vertical="center"/>
    </xf>
    <xf numFmtId="0" fontId="0" fillId="0" borderId="0" xfId="0" applyAlignment="1">
      <alignment horizontal="right"/>
    </xf>
    <xf numFmtId="0" fontId="34" fillId="0" borderId="65" xfId="0" applyFont="1" applyBorder="1" applyAlignment="1">
      <alignment vertical="center"/>
    </xf>
    <xf numFmtId="0" fontId="34" fillId="0" borderId="66" xfId="0" applyFont="1" applyBorder="1" applyAlignment="1">
      <alignment vertical="center"/>
    </xf>
    <xf numFmtId="0" fontId="43" fillId="0" borderId="65" xfId="0" applyFont="1" applyBorder="1" applyAlignment="1">
      <alignment horizontal="left" vertical="center"/>
    </xf>
    <xf numFmtId="0" fontId="34" fillId="0" borderId="65" xfId="0" applyFont="1" applyBorder="1" applyAlignment="1">
      <alignment horizontal="left" vertical="center"/>
    </xf>
    <xf numFmtId="0" fontId="34" fillId="0" borderId="65" xfId="0" applyFont="1" applyBorder="1" applyAlignment="1">
      <alignment vertical="center" wrapText="1"/>
    </xf>
    <xf numFmtId="0" fontId="34" fillId="0" borderId="67" xfId="0" applyFont="1" applyBorder="1" applyAlignment="1">
      <alignment vertical="center"/>
    </xf>
    <xf numFmtId="0" fontId="43" fillId="0" borderId="68" xfId="0" applyFont="1" applyBorder="1" applyAlignment="1">
      <alignment horizontal="left" vertical="center"/>
    </xf>
    <xf numFmtId="0" fontId="34" fillId="0" borderId="68" xfId="0" applyFont="1" applyBorder="1" applyAlignment="1">
      <alignment vertical="center"/>
    </xf>
    <xf numFmtId="0" fontId="0" fillId="0" borderId="69" xfId="0" applyBorder="1"/>
    <xf numFmtId="0" fontId="0" fillId="0" borderId="69" xfId="0" applyBorder="1" applyAlignment="1">
      <alignment horizontal="right"/>
    </xf>
    <xf numFmtId="0" fontId="43" fillId="0" borderId="70" xfId="0" applyFont="1" applyBorder="1" applyAlignment="1">
      <alignment horizontal="center" vertical="center"/>
    </xf>
    <xf numFmtId="0" fontId="43" fillId="0" borderId="71" xfId="0" applyFont="1" applyBorder="1" applyAlignment="1">
      <alignment horizontal="center" vertical="center"/>
    </xf>
    <xf numFmtId="0" fontId="43" fillId="0" borderId="72" xfId="0" applyFont="1" applyBorder="1" applyAlignment="1">
      <alignment horizontal="center" vertical="center"/>
    </xf>
    <xf numFmtId="0" fontId="43" fillId="0" borderId="73" xfId="0" applyFont="1" applyBorder="1" applyAlignment="1">
      <alignment horizontal="center" vertical="center"/>
    </xf>
    <xf numFmtId="0" fontId="43" fillId="0" borderId="74" xfId="0" applyFont="1" applyBorder="1" applyAlignment="1">
      <alignment horizontal="center" vertical="center"/>
    </xf>
    <xf numFmtId="0" fontId="34" fillId="0" borderId="73" xfId="0" applyFont="1" applyBorder="1" applyAlignment="1">
      <alignment horizontal="center" vertical="center"/>
    </xf>
    <xf numFmtId="0" fontId="43" fillId="0" borderId="75" xfId="0" applyFont="1" applyBorder="1" applyAlignment="1">
      <alignment horizontal="center" vertical="center"/>
    </xf>
    <xf numFmtId="0" fontId="43" fillId="0" borderId="7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1" fillId="0" borderId="65" xfId="0" applyFont="1" applyBorder="1" applyAlignment="1">
      <alignment vertical="center"/>
    </xf>
    <xf numFmtId="0" fontId="31" fillId="0" borderId="70" xfId="0" applyFont="1" applyBorder="1" applyAlignment="1">
      <alignment horizontal="center" vertical="center"/>
    </xf>
    <xf numFmtId="0" fontId="31" fillId="0" borderId="77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67" xfId="0" applyFont="1" applyBorder="1" applyAlignment="1">
      <alignment vertical="center"/>
    </xf>
    <xf numFmtId="169" fontId="0" fillId="0" borderId="0" xfId="0" applyNumberFormat="1" applyAlignment="1">
      <alignment horizontal="right" vertical="center"/>
    </xf>
    <xf numFmtId="0" fontId="31" fillId="0" borderId="79" xfId="0" applyFont="1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172" fontId="34" fillId="0" borderId="82" xfId="0" applyNumberFormat="1" applyFont="1" applyBorder="1" applyAlignment="1">
      <alignment horizontal="right" vertical="center"/>
    </xf>
    <xf numFmtId="172" fontId="34" fillId="0" borderId="83" xfId="0" applyNumberFormat="1" applyFont="1" applyBorder="1" applyAlignment="1">
      <alignment horizontal="right" vertical="center"/>
    </xf>
    <xf numFmtId="172" fontId="43" fillId="0" borderId="82" xfId="0" applyNumberFormat="1" applyFont="1" applyBorder="1" applyAlignment="1">
      <alignment horizontal="right" vertical="center"/>
    </xf>
    <xf numFmtId="172" fontId="31" fillId="0" borderId="82" xfId="0" applyNumberFormat="1" applyFont="1" applyBorder="1" applyAlignment="1">
      <alignment horizontal="right" vertical="center"/>
    </xf>
    <xf numFmtId="172" fontId="34" fillId="0" borderId="84" xfId="0" applyNumberFormat="1" applyFont="1" applyBorder="1" applyAlignment="1">
      <alignment horizontal="right" vertical="center"/>
    </xf>
    <xf numFmtId="172" fontId="34" fillId="19" borderId="82" xfId="0" applyNumberFormat="1" applyFont="1" applyFill="1" applyBorder="1" applyAlignment="1">
      <alignment horizontal="right" vertical="center"/>
    </xf>
    <xf numFmtId="172" fontId="34" fillId="19" borderId="83" xfId="0" applyNumberFormat="1" applyFont="1" applyFill="1" applyBorder="1" applyAlignment="1">
      <alignment horizontal="right" vertical="center"/>
    </xf>
    <xf numFmtId="172" fontId="31" fillId="19" borderId="82" xfId="0" applyNumberFormat="1" applyFont="1" applyFill="1" applyBorder="1" applyAlignment="1">
      <alignment horizontal="right" vertical="center"/>
    </xf>
    <xf numFmtId="172" fontId="31" fillId="0" borderId="85" xfId="0" applyNumberFormat="1" applyFont="1" applyBorder="1" applyAlignment="1">
      <alignment horizontal="right" vertical="center"/>
    </xf>
    <xf numFmtId="172" fontId="0" fillId="0" borderId="0" xfId="0" applyNumberFormat="1" applyAlignment="1">
      <alignment horizontal="right" vertical="center"/>
    </xf>
    <xf numFmtId="172" fontId="46" fillId="0" borderId="86" xfId="0" applyNumberFormat="1" applyFont="1" applyBorder="1" applyAlignment="1">
      <alignment horizontal="right" vertical="center"/>
    </xf>
    <xf numFmtId="172" fontId="41" fillId="19" borderId="87" xfId="0" applyNumberFormat="1" applyFont="1" applyFill="1" applyBorder="1" applyAlignment="1">
      <alignment horizontal="right" vertical="center"/>
    </xf>
    <xf numFmtId="0" fontId="42" fillId="0" borderId="8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1" fillId="0" borderId="88" xfId="0" applyFont="1" applyBorder="1" applyAlignment="1">
      <alignment horizontal="center" vertical="center"/>
    </xf>
    <xf numFmtId="0" fontId="41" fillId="0" borderId="89" xfId="0" applyFont="1" applyBorder="1" applyAlignment="1">
      <alignment horizontal="left" vertical="center"/>
    </xf>
    <xf numFmtId="0" fontId="41" fillId="0" borderId="90" xfId="0" applyFont="1" applyBorder="1" applyAlignment="1">
      <alignment horizontal="center" vertical="center"/>
    </xf>
    <xf numFmtId="9" fontId="25" fillId="0" borderId="79" xfId="38" applyFont="1" applyFill="1" applyBorder="1" applyAlignment="1" applyProtection="1">
      <alignment horizontal="center" vertical="center"/>
    </xf>
    <xf numFmtId="0" fontId="82" fillId="0" borderId="0" xfId="0" applyFont="1" applyAlignment="1">
      <alignment vertical="center"/>
    </xf>
    <xf numFmtId="0" fontId="42" fillId="0" borderId="91" xfId="0" applyFont="1" applyBorder="1" applyAlignment="1">
      <alignment horizontal="center" vertical="center"/>
    </xf>
    <xf numFmtId="0" fontId="41" fillId="0" borderId="91" xfId="0" applyFont="1" applyBorder="1" applyAlignment="1">
      <alignment horizontal="center" vertical="center"/>
    </xf>
    <xf numFmtId="0" fontId="41" fillId="0" borderId="92" xfId="0" applyFont="1" applyBorder="1" applyAlignment="1">
      <alignment horizontal="left" vertical="center"/>
    </xf>
    <xf numFmtId="0" fontId="41" fillId="0" borderId="93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1" fillId="0" borderId="65" xfId="0" applyFont="1" applyBorder="1" applyAlignment="1">
      <alignment horizontal="left" vertical="center"/>
    </xf>
    <xf numFmtId="0" fontId="48" fillId="0" borderId="92" xfId="0" applyFont="1" applyBorder="1" applyAlignment="1">
      <alignment vertical="center"/>
    </xf>
    <xf numFmtId="172" fontId="48" fillId="0" borderId="94" xfId="0" applyNumberFormat="1" applyFont="1" applyBorder="1" applyAlignment="1">
      <alignment horizontal="right" vertical="center"/>
    </xf>
    <xf numFmtId="0" fontId="32" fillId="0" borderId="95" xfId="0" applyFont="1" applyBorder="1" applyAlignment="1">
      <alignment horizontal="center" vertical="center"/>
    </xf>
    <xf numFmtId="172" fontId="48" fillId="0" borderId="87" xfId="0" applyNumberFormat="1" applyFont="1" applyBorder="1" applyAlignment="1">
      <alignment horizontal="right" vertical="center"/>
    </xf>
    <xf numFmtId="172" fontId="41" fillId="19" borderId="94" xfId="0" applyNumberFormat="1" applyFont="1" applyFill="1" applyBorder="1" applyAlignment="1">
      <alignment horizontal="right" vertical="center"/>
    </xf>
    <xf numFmtId="171" fontId="41" fillId="0" borderId="94" xfId="0" applyNumberFormat="1" applyFont="1" applyBorder="1" applyAlignment="1">
      <alignment horizontal="right" vertical="center"/>
    </xf>
    <xf numFmtId="171" fontId="34" fillId="19" borderId="82" xfId="33" applyNumberFormat="1" applyFont="1" applyFill="1" applyBorder="1" applyAlignment="1" applyProtection="1">
      <alignment horizontal="right" vertical="center"/>
    </xf>
    <xf numFmtId="171" fontId="34" fillId="19" borderId="83" xfId="33" applyNumberFormat="1" applyFont="1" applyFill="1" applyBorder="1" applyAlignment="1" applyProtection="1">
      <alignment horizontal="right" vertical="center"/>
    </xf>
    <xf numFmtId="171" fontId="41" fillId="19" borderId="94" xfId="33" applyNumberFormat="1" applyFont="1" applyFill="1" applyBorder="1" applyAlignment="1" applyProtection="1">
      <alignment horizontal="right" vertical="center"/>
    </xf>
    <xf numFmtId="171" fontId="41" fillId="19" borderId="82" xfId="33" applyNumberFormat="1" applyFont="1" applyFill="1" applyBorder="1" applyAlignment="1" applyProtection="1">
      <alignment horizontal="right" vertical="center"/>
    </xf>
    <xf numFmtId="171" fontId="34" fillId="19" borderId="85" xfId="33" applyNumberFormat="1" applyFont="1" applyFill="1" applyBorder="1" applyAlignment="1" applyProtection="1">
      <alignment horizontal="right" vertical="center"/>
    </xf>
    <xf numFmtId="171" fontId="43" fillId="0" borderId="96" xfId="33" applyNumberFormat="1" applyFont="1" applyFill="1" applyBorder="1" applyAlignment="1" applyProtection="1">
      <alignment horizontal="right" vertical="center"/>
    </xf>
    <xf numFmtId="171" fontId="41" fillId="0" borderId="97" xfId="0" applyNumberFormat="1" applyFont="1" applyBorder="1" applyAlignment="1">
      <alignment horizontal="right" vertical="center"/>
    </xf>
    <xf numFmtId="171" fontId="34" fillId="0" borderId="98" xfId="33" applyNumberFormat="1" applyFont="1" applyFill="1" applyBorder="1" applyAlignment="1" applyProtection="1">
      <alignment horizontal="right" vertical="center"/>
    </xf>
    <xf numFmtId="171" fontId="34" fillId="0" borderId="99" xfId="33" applyNumberFormat="1" applyFont="1" applyFill="1" applyBorder="1" applyAlignment="1" applyProtection="1">
      <alignment horizontal="right" vertical="center"/>
    </xf>
    <xf numFmtId="0" fontId="48" fillId="0" borderId="87" xfId="0" applyFont="1" applyBorder="1" applyAlignment="1">
      <alignment horizontal="right" vertical="center"/>
    </xf>
    <xf numFmtId="0" fontId="34" fillId="0" borderId="82" xfId="0" applyFont="1" applyBorder="1" applyAlignment="1">
      <alignment horizontal="right" vertical="center"/>
    </xf>
    <xf numFmtId="171" fontId="43" fillId="0" borderId="82" xfId="33" applyNumberFormat="1" applyFont="1" applyFill="1" applyBorder="1" applyAlignment="1" applyProtection="1">
      <alignment horizontal="right" vertical="center"/>
    </xf>
    <xf numFmtId="171" fontId="34" fillId="0" borderId="82" xfId="33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horizontal="right" vertical="center"/>
    </xf>
    <xf numFmtId="171" fontId="46" fillId="0" borderId="100" xfId="33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5" fontId="82" fillId="0" borderId="101" xfId="0" applyNumberFormat="1" applyFont="1" applyBorder="1" applyAlignment="1">
      <alignment horizontal="right" vertical="center"/>
    </xf>
    <xf numFmtId="3" fontId="82" fillId="0" borderId="102" xfId="0" applyNumberFormat="1" applyFont="1" applyBorder="1" applyAlignment="1">
      <alignment horizontal="right" vertical="center"/>
    </xf>
    <xf numFmtId="5" fontId="82" fillId="0" borderId="103" xfId="0" applyNumberFormat="1" applyFont="1" applyBorder="1" applyAlignment="1">
      <alignment horizontal="right" vertical="center"/>
    </xf>
    <xf numFmtId="7" fontId="83" fillId="0" borderId="104" xfId="0" applyNumberFormat="1" applyFont="1" applyBorder="1" applyAlignment="1">
      <alignment horizontal="right" vertical="center"/>
    </xf>
    <xf numFmtId="172" fontId="34" fillId="0" borderId="85" xfId="0" applyNumberFormat="1" applyFont="1" applyBorder="1" applyAlignment="1">
      <alignment horizontal="right" vertical="center"/>
    </xf>
    <xf numFmtId="0" fontId="31" fillId="0" borderId="105" xfId="0" applyFont="1" applyBorder="1" applyAlignment="1">
      <alignment horizontal="center" vertical="center"/>
    </xf>
    <xf numFmtId="172" fontId="41" fillId="0" borderId="87" xfId="0" applyNumberFormat="1" applyFont="1" applyBorder="1" applyAlignment="1">
      <alignment horizontal="right" vertical="center"/>
    </xf>
    <xf numFmtId="9" fontId="25" fillId="0" borderId="95" xfId="38" applyFont="1" applyFill="1" applyBorder="1" applyAlignment="1" applyProtection="1">
      <alignment horizontal="center" vertical="center"/>
    </xf>
    <xf numFmtId="0" fontId="31" fillId="0" borderId="106" xfId="0" applyFont="1" applyBorder="1" applyAlignment="1">
      <alignment horizontal="center" vertical="center"/>
    </xf>
    <xf numFmtId="9" fontId="25" fillId="0" borderId="107" xfId="38" applyFont="1" applyFill="1" applyBorder="1" applyAlignment="1" applyProtection="1">
      <alignment horizontal="center" vertical="center"/>
    </xf>
    <xf numFmtId="0" fontId="31" fillId="0" borderId="66" xfId="0" applyFont="1" applyBorder="1" applyAlignment="1">
      <alignment vertical="center"/>
    </xf>
    <xf numFmtId="0" fontId="77" fillId="0" borderId="0" xfId="0" applyFont="1" applyAlignment="1">
      <alignment horizontal="center" vertical="center"/>
    </xf>
    <xf numFmtId="0" fontId="42" fillId="20" borderId="76" xfId="0" applyFont="1" applyFill="1" applyBorder="1" applyAlignment="1">
      <alignment horizontal="center" vertical="center" wrapText="1"/>
    </xf>
    <xf numFmtId="0" fontId="46" fillId="20" borderId="68" xfId="0" applyFont="1" applyFill="1" applyBorder="1" applyAlignment="1">
      <alignment horizontal="center" vertical="center"/>
    </xf>
    <xf numFmtId="0" fontId="46" fillId="20" borderId="96" xfId="0" applyFont="1" applyFill="1" applyBorder="1" applyAlignment="1">
      <alignment horizontal="right" vertical="center"/>
    </xf>
    <xf numFmtId="0" fontId="42" fillId="20" borderId="72" xfId="0" applyFont="1" applyFill="1" applyBorder="1" applyAlignment="1">
      <alignment horizontal="center" vertical="center" wrapText="1"/>
    </xf>
    <xf numFmtId="172" fontId="46" fillId="20" borderId="84" xfId="0" applyNumberFormat="1" applyFont="1" applyFill="1" applyBorder="1" applyAlignment="1">
      <alignment horizontal="center" vertical="center"/>
    </xf>
    <xf numFmtId="0" fontId="42" fillId="20" borderId="107" xfId="0" applyFont="1" applyFill="1" applyBorder="1" applyAlignment="1">
      <alignment horizontal="center" vertical="center"/>
    </xf>
    <xf numFmtId="0" fontId="42" fillId="0" borderId="92" xfId="0" applyFont="1" applyBorder="1" applyAlignment="1">
      <alignment horizontal="left" vertical="center" wrapText="1"/>
    </xf>
    <xf numFmtId="0" fontId="42" fillId="0" borderId="93" xfId="0" applyFont="1" applyBorder="1" applyAlignment="1">
      <alignment horizontal="right" vertical="center" wrapText="1"/>
    </xf>
    <xf numFmtId="0" fontId="47" fillId="0" borderId="65" xfId="0" applyFont="1" applyBorder="1" applyAlignment="1">
      <alignment vertical="center" wrapText="1"/>
    </xf>
    <xf numFmtId="0" fontId="42" fillId="0" borderId="70" xfId="0" applyFont="1" applyBorder="1" applyAlignment="1">
      <alignment horizontal="right" vertical="center" wrapText="1"/>
    </xf>
    <xf numFmtId="0" fontId="47" fillId="0" borderId="66" xfId="0" applyFont="1" applyBorder="1" applyAlignment="1">
      <alignment vertical="center" wrapText="1"/>
    </xf>
    <xf numFmtId="0" fontId="42" fillId="0" borderId="71" xfId="0" applyFont="1" applyBorder="1" applyAlignment="1">
      <alignment horizontal="right" vertical="center" wrapText="1"/>
    </xf>
    <xf numFmtId="0" fontId="47" fillId="0" borderId="92" xfId="0" applyFont="1" applyBorder="1" applyAlignment="1">
      <alignment vertical="center" wrapText="1"/>
    </xf>
    <xf numFmtId="0" fontId="42" fillId="0" borderId="65" xfId="0" applyFont="1" applyBorder="1" applyAlignment="1">
      <alignment horizontal="left" vertical="center" wrapText="1"/>
    </xf>
    <xf numFmtId="0" fontId="47" fillId="0" borderId="67" xfId="0" applyFont="1" applyBorder="1" applyAlignment="1">
      <alignment vertical="center" wrapText="1"/>
    </xf>
    <xf numFmtId="0" fontId="42" fillId="0" borderId="68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right" vertical="center" wrapText="1"/>
    </xf>
    <xf numFmtId="0" fontId="47" fillId="0" borderId="68" xfId="0" applyFont="1" applyBorder="1" applyAlignment="1">
      <alignment vertical="center" wrapText="1"/>
    </xf>
    <xf numFmtId="0" fontId="47" fillId="0" borderId="65" xfId="0" applyFont="1" applyFill="1" applyBorder="1" applyAlignment="1">
      <alignment horizontal="left" vertical="center" wrapText="1"/>
    </xf>
    <xf numFmtId="0" fontId="47" fillId="0" borderId="65" xfId="0" applyFont="1" applyFill="1" applyBorder="1" applyAlignment="1">
      <alignment vertical="center" wrapText="1"/>
    </xf>
    <xf numFmtId="0" fontId="47" fillId="0" borderId="65" xfId="0" applyFont="1" applyBorder="1" applyAlignment="1">
      <alignment horizontal="left" vertical="center" wrapText="1"/>
    </xf>
    <xf numFmtId="0" fontId="47" fillId="0" borderId="66" xfId="0" applyFont="1" applyFill="1" applyBorder="1" applyAlignment="1">
      <alignment vertical="center" wrapText="1"/>
    </xf>
    <xf numFmtId="0" fontId="42" fillId="0" borderId="89" xfId="0" applyFont="1" applyBorder="1" applyAlignment="1">
      <alignment horizontal="left" vertical="center" wrapText="1"/>
    </xf>
    <xf numFmtId="0" fontId="42" fillId="0" borderId="90" xfId="0" applyFont="1" applyBorder="1" applyAlignment="1">
      <alignment horizontal="right" vertical="center" wrapText="1"/>
    </xf>
    <xf numFmtId="0" fontId="0" fillId="0" borderId="0" xfId="0" applyBorder="1"/>
    <xf numFmtId="0" fontId="28" fillId="0" borderId="0" xfId="0" applyFont="1" applyBorder="1" applyAlignment="1">
      <alignment horizontal="center" vertical="center"/>
    </xf>
    <xf numFmtId="0" fontId="42" fillId="0" borderId="91" xfId="0" applyFont="1" applyBorder="1" applyAlignment="1">
      <alignment vertical="center"/>
    </xf>
    <xf numFmtId="0" fontId="42" fillId="0" borderId="73" xfId="0" applyFont="1" applyBorder="1" applyAlignment="1">
      <alignment vertical="center"/>
    </xf>
    <xf numFmtId="0" fontId="42" fillId="0" borderId="74" xfId="0" applyFont="1" applyBorder="1" applyAlignment="1">
      <alignment vertical="center"/>
    </xf>
    <xf numFmtId="0" fontId="51" fillId="0" borderId="73" xfId="0" applyFont="1" applyBorder="1" applyAlignment="1">
      <alignment vertical="center"/>
    </xf>
    <xf numFmtId="0" fontId="42" fillId="0" borderId="75" xfId="0" applyFont="1" applyBorder="1" applyAlignment="1">
      <alignment vertical="center"/>
    </xf>
    <xf numFmtId="0" fontId="42" fillId="0" borderId="76" xfId="0" applyFont="1" applyBorder="1" applyAlignment="1">
      <alignment vertical="center"/>
    </xf>
    <xf numFmtId="0" fontId="42" fillId="0" borderId="88" xfId="0" applyFont="1" applyBorder="1" applyAlignment="1">
      <alignment vertical="center"/>
    </xf>
    <xf numFmtId="0" fontId="42" fillId="0" borderId="108" xfId="0" applyFont="1" applyBorder="1" applyAlignment="1">
      <alignment vertical="center"/>
    </xf>
    <xf numFmtId="0" fontId="42" fillId="0" borderId="109" xfId="0" applyFont="1" applyBorder="1" applyAlignment="1">
      <alignment horizontal="right" vertical="center"/>
    </xf>
    <xf numFmtId="0" fontId="42" fillId="0" borderId="93" xfId="0" applyFont="1" applyBorder="1" applyAlignment="1">
      <alignment horizontal="center" vertical="center" wrapText="1"/>
    </xf>
    <xf numFmtId="0" fontId="42" fillId="0" borderId="70" xfId="0" applyFont="1" applyBorder="1" applyAlignment="1">
      <alignment horizontal="center" vertical="center" wrapText="1"/>
    </xf>
    <xf numFmtId="0" fontId="42" fillId="0" borderId="71" xfId="0" applyFont="1" applyBorder="1" applyAlignment="1">
      <alignment horizontal="center" vertical="center" wrapText="1"/>
    </xf>
    <xf numFmtId="0" fontId="42" fillId="0" borderId="72" xfId="0" applyFont="1" applyBorder="1" applyAlignment="1">
      <alignment horizontal="center" vertical="center" wrapText="1"/>
    </xf>
    <xf numFmtId="0" fontId="42" fillId="0" borderId="90" xfId="0" applyFont="1" applyBorder="1" applyAlignment="1">
      <alignment horizontal="center" vertical="center" wrapText="1"/>
    </xf>
    <xf numFmtId="0" fontId="42" fillId="0" borderId="73" xfId="0" applyFont="1" applyBorder="1" applyAlignment="1">
      <alignment horizontal="center" vertical="center"/>
    </xf>
    <xf numFmtId="0" fontId="42" fillId="0" borderId="74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42" fillId="0" borderId="75" xfId="0" applyFont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0" fontId="42" fillId="0" borderId="108" xfId="0" applyFont="1" applyBorder="1" applyAlignment="1">
      <alignment horizontal="center" vertical="center"/>
    </xf>
    <xf numFmtId="172" fontId="42" fillId="0" borderId="94" xfId="0" applyNumberFormat="1" applyFont="1" applyBorder="1" applyAlignment="1">
      <alignment horizontal="right" vertical="center" wrapText="1"/>
    </xf>
    <xf numFmtId="172" fontId="47" fillId="0" borderId="82" xfId="0" applyNumberFormat="1" applyFont="1" applyBorder="1" applyAlignment="1">
      <alignment horizontal="right" vertical="center" wrapText="1"/>
    </xf>
    <xf numFmtId="172" fontId="47" fillId="0" borderId="83" xfId="0" applyNumberFormat="1" applyFont="1" applyBorder="1" applyAlignment="1">
      <alignment horizontal="right" vertical="center" wrapText="1"/>
    </xf>
    <xf numFmtId="172" fontId="47" fillId="0" borderId="94" xfId="0" applyNumberFormat="1" applyFont="1" applyBorder="1" applyAlignment="1">
      <alignment horizontal="right" vertical="center" wrapText="1"/>
    </xf>
    <xf numFmtId="172" fontId="42" fillId="0" borderId="82" xfId="0" applyNumberFormat="1" applyFont="1" applyBorder="1" applyAlignment="1">
      <alignment horizontal="right" vertical="center" wrapText="1"/>
    </xf>
    <xf numFmtId="172" fontId="47" fillId="0" borderId="84" xfId="0" applyNumberFormat="1" applyFont="1" applyBorder="1" applyAlignment="1">
      <alignment horizontal="right" vertical="center" wrapText="1"/>
    </xf>
    <xf numFmtId="172" fontId="47" fillId="0" borderId="82" xfId="0" applyNumberFormat="1" applyFont="1" applyFill="1" applyBorder="1" applyAlignment="1">
      <alignment horizontal="right" vertical="center" wrapText="1"/>
    </xf>
    <xf numFmtId="172" fontId="47" fillId="0" borderId="83" xfId="0" applyNumberFormat="1" applyFont="1" applyFill="1" applyBorder="1" applyAlignment="1">
      <alignment horizontal="right" vertical="center" wrapText="1"/>
    </xf>
    <xf numFmtId="172" fontId="42" fillId="0" borderId="87" xfId="0" applyNumberFormat="1" applyFont="1" applyBorder="1" applyAlignment="1">
      <alignment horizontal="right" vertical="center" wrapText="1"/>
    </xf>
    <xf numFmtId="172" fontId="42" fillId="0" borderId="86" xfId="0" applyNumberFormat="1" applyFont="1" applyBorder="1" applyAlignment="1">
      <alignment horizontal="right" vertical="center"/>
    </xf>
    <xf numFmtId="172" fontId="47" fillId="0" borderId="82" xfId="33" applyNumberFormat="1" applyFont="1" applyFill="1" applyBorder="1" applyAlignment="1" applyProtection="1">
      <alignment horizontal="right" vertical="center" wrapText="1"/>
    </xf>
    <xf numFmtId="172" fontId="47" fillId="0" borderId="83" xfId="33" applyNumberFormat="1" applyFont="1" applyFill="1" applyBorder="1" applyAlignment="1" applyProtection="1">
      <alignment horizontal="right" vertical="center" wrapText="1"/>
    </xf>
    <xf numFmtId="172" fontId="42" fillId="0" borderId="94" xfId="33" applyNumberFormat="1" applyFont="1" applyFill="1" applyBorder="1" applyAlignment="1" applyProtection="1">
      <alignment horizontal="right" vertical="center" wrapText="1"/>
    </xf>
    <xf numFmtId="172" fontId="42" fillId="0" borderId="82" xfId="33" applyNumberFormat="1" applyFont="1" applyFill="1" applyBorder="1" applyAlignment="1" applyProtection="1">
      <alignment horizontal="right" vertical="center" wrapText="1"/>
    </xf>
    <xf numFmtId="172" fontId="47" fillId="0" borderId="85" xfId="33" applyNumberFormat="1" applyFont="1" applyFill="1" applyBorder="1" applyAlignment="1" applyProtection="1">
      <alignment horizontal="right" vertical="center" wrapText="1"/>
    </xf>
    <xf numFmtId="172" fontId="42" fillId="0" borderId="96" xfId="33" applyNumberFormat="1" applyFont="1" applyFill="1" applyBorder="1" applyAlignment="1" applyProtection="1">
      <alignment horizontal="right" vertical="center" wrapText="1"/>
    </xf>
    <xf numFmtId="172" fontId="42" fillId="0" borderId="97" xfId="0" applyNumberFormat="1" applyFont="1" applyBorder="1" applyAlignment="1">
      <alignment horizontal="right" vertical="center" wrapText="1"/>
    </xf>
    <xf numFmtId="172" fontId="47" fillId="0" borderId="98" xfId="33" applyNumberFormat="1" applyFont="1" applyFill="1" applyBorder="1" applyAlignment="1" applyProtection="1">
      <alignment horizontal="right" vertical="center" wrapText="1"/>
    </xf>
    <xf numFmtId="172" fontId="47" fillId="0" borderId="99" xfId="33" applyNumberFormat="1" applyFont="1" applyFill="1" applyBorder="1" applyAlignment="1" applyProtection="1">
      <alignment horizontal="right" vertical="center" wrapText="1"/>
    </xf>
    <xf numFmtId="172" fontId="47" fillId="0" borderId="87" xfId="0" applyNumberFormat="1" applyFont="1" applyBorder="1" applyAlignment="1">
      <alignment horizontal="right" vertical="center" wrapText="1"/>
    </xf>
    <xf numFmtId="172" fontId="42" fillId="0" borderId="100" xfId="33" applyNumberFormat="1" applyFont="1" applyFill="1" applyBorder="1" applyAlignment="1" applyProtection="1">
      <alignment horizontal="right" vertical="center"/>
    </xf>
    <xf numFmtId="172" fontId="42" fillId="20" borderId="96" xfId="0" applyNumberFormat="1" applyFont="1" applyFill="1" applyBorder="1" applyAlignment="1">
      <alignment horizontal="right" vertical="center"/>
    </xf>
    <xf numFmtId="172" fontId="42" fillId="20" borderId="84" xfId="0" applyNumberFormat="1" applyFont="1" applyFill="1" applyBorder="1" applyAlignment="1">
      <alignment horizontal="right" vertical="center"/>
    </xf>
    <xf numFmtId="0" fontId="42" fillId="20" borderId="110" xfId="0" applyFont="1" applyFill="1" applyBorder="1" applyAlignment="1">
      <alignment horizontal="center" vertical="center"/>
    </xf>
    <xf numFmtId="9" fontId="28" fillId="0" borderId="107" xfId="38" applyFont="1" applyFill="1" applyBorder="1" applyAlignment="1" applyProtection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7" fillId="0" borderId="65" xfId="0" applyFont="1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172" fontId="0" fillId="0" borderId="82" xfId="0" applyNumberFormat="1" applyBorder="1" applyAlignment="1">
      <alignment horizontal="right" vertical="center" wrapText="1"/>
    </xf>
    <xf numFmtId="0" fontId="0" fillId="0" borderId="106" xfId="0" applyBorder="1" applyAlignment="1">
      <alignment horizontal="center" vertical="center"/>
    </xf>
    <xf numFmtId="9" fontId="28" fillId="0" borderId="95" xfId="38" applyFont="1" applyFill="1" applyBorder="1" applyAlignment="1" applyProtection="1">
      <alignment horizontal="center" vertical="center"/>
    </xf>
    <xf numFmtId="0" fontId="0" fillId="0" borderId="70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72" fontId="0" fillId="0" borderId="0" xfId="0" applyNumberFormat="1" applyBorder="1" applyAlignment="1">
      <alignment horizontal="right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67" xfId="0" applyBorder="1" applyAlignment="1">
      <alignment vertical="center" wrapText="1"/>
    </xf>
    <xf numFmtId="172" fontId="0" fillId="0" borderId="85" xfId="0" applyNumberFormat="1" applyBorder="1" applyAlignment="1">
      <alignment horizontal="right" vertical="center" wrapText="1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2" fontId="0" fillId="0" borderId="0" xfId="0" applyNumberFormat="1" applyFont="1" applyAlignment="1">
      <alignment horizontal="right" vertical="center"/>
    </xf>
    <xf numFmtId="172" fontId="0" fillId="0" borderId="0" xfId="0" applyNumberFormat="1" applyBorder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172" fontId="53" fillId="0" borderId="0" xfId="0" applyNumberFormat="1" applyFont="1" applyAlignment="1">
      <alignment horizontal="right"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28" fillId="0" borderId="79" xfId="38" applyFont="1" applyFill="1" applyBorder="1" applyAlignment="1" applyProtection="1">
      <alignment vertical="center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9" fontId="28" fillId="0" borderId="95" xfId="38" applyFont="1" applyFill="1" applyBorder="1" applyAlignment="1" applyProtection="1">
      <alignment vertical="center"/>
    </xf>
    <xf numFmtId="0" fontId="0" fillId="0" borderId="70" xfId="0" applyBorder="1" applyAlignment="1">
      <alignment vertical="center" wrapText="1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 wrapText="1"/>
    </xf>
    <xf numFmtId="0" fontId="0" fillId="0" borderId="111" xfId="0" applyBorder="1" applyAlignment="1">
      <alignment vertical="center"/>
    </xf>
    <xf numFmtId="0" fontId="0" fillId="0" borderId="81" xfId="0" applyBorder="1" applyAlignment="1">
      <alignment vertical="center"/>
    </xf>
    <xf numFmtId="0" fontId="25" fillId="0" borderId="0" xfId="0" applyFont="1"/>
    <xf numFmtId="0" fontId="25" fillId="0" borderId="0" xfId="0" applyFont="1" applyBorder="1"/>
    <xf numFmtId="0" fontId="0" fillId="0" borderId="0" xfId="0" applyBorder="1" applyAlignment="1">
      <alignment horizontal="right"/>
    </xf>
    <xf numFmtId="0" fontId="41" fillId="21" borderId="36" xfId="0" applyFont="1" applyFill="1" applyBorder="1" applyAlignment="1">
      <alignment horizontal="center"/>
    </xf>
    <xf numFmtId="0" fontId="41" fillId="21" borderId="37" xfId="0" applyFont="1" applyFill="1" applyBorder="1" applyAlignment="1">
      <alignment horizontal="center"/>
    </xf>
    <xf numFmtId="0" fontId="42" fillId="22" borderId="113" xfId="0" applyFont="1" applyFill="1" applyBorder="1" applyAlignment="1">
      <alignment vertical="center"/>
    </xf>
    <xf numFmtId="0" fontId="42" fillId="22" borderId="69" xfId="0" applyFont="1" applyFill="1" applyBorder="1" applyAlignment="1">
      <alignment horizontal="left" vertical="center"/>
    </xf>
    <xf numFmtId="171" fontId="14" fillId="22" borderId="69" xfId="34" applyNumberFormat="1" applyFont="1" applyFill="1" applyBorder="1" applyAlignment="1">
      <alignment horizontal="right"/>
    </xf>
    <xf numFmtId="9" fontId="54" fillId="22" borderId="69" xfId="38" applyFont="1" applyFill="1" applyBorder="1" applyAlignment="1">
      <alignment vertical="center"/>
    </xf>
    <xf numFmtId="0" fontId="42" fillId="22" borderId="69" xfId="0" applyFont="1" applyFill="1" applyBorder="1" applyAlignment="1">
      <alignment vertical="center"/>
    </xf>
    <xf numFmtId="9" fontId="54" fillId="22" borderId="114" xfId="38" applyFont="1" applyFill="1" applyBorder="1" applyAlignment="1">
      <alignment vertical="center"/>
    </xf>
    <xf numFmtId="0" fontId="47" fillId="0" borderId="113" xfId="0" applyFont="1" applyBorder="1" applyAlignment="1">
      <alignment vertical="center"/>
    </xf>
    <xf numFmtId="0" fontId="47" fillId="0" borderId="69" xfId="0" applyFont="1" applyBorder="1" applyAlignment="1">
      <alignment vertical="center"/>
    </xf>
    <xf numFmtId="171" fontId="1" fillId="0" borderId="69" xfId="34" applyNumberFormat="1" applyBorder="1" applyAlignment="1">
      <alignment horizontal="right"/>
    </xf>
    <xf numFmtId="171" fontId="38" fillId="0" borderId="69" xfId="34" applyNumberFormat="1" applyFont="1" applyBorder="1" applyAlignment="1">
      <alignment horizontal="right"/>
    </xf>
    <xf numFmtId="0" fontId="47" fillId="0" borderId="69" xfId="0" applyFont="1" applyBorder="1" applyAlignment="1">
      <alignment horizontal="right" vertical="center"/>
    </xf>
    <xf numFmtId="171" fontId="1" fillId="0" borderId="69" xfId="34" applyNumberFormat="1" applyBorder="1"/>
    <xf numFmtId="171" fontId="38" fillId="0" borderId="114" xfId="34" applyNumberFormat="1" applyFont="1" applyBorder="1" applyAlignment="1">
      <alignment horizontal="right"/>
    </xf>
    <xf numFmtId="0" fontId="42" fillId="0" borderId="69" xfId="0" applyFont="1" applyBorder="1" applyAlignment="1">
      <alignment horizontal="right" vertical="center"/>
    </xf>
    <xf numFmtId="0" fontId="55" fillId="0" borderId="69" xfId="0" applyFont="1" applyBorder="1" applyAlignment="1">
      <alignment vertical="center"/>
    </xf>
    <xf numFmtId="0" fontId="42" fillId="0" borderId="69" xfId="0" applyFont="1" applyBorder="1" applyAlignment="1">
      <alignment vertical="center"/>
    </xf>
    <xf numFmtId="0" fontId="42" fillId="0" borderId="69" xfId="0" applyFont="1" applyBorder="1" applyAlignment="1">
      <alignment horizontal="left" vertical="center"/>
    </xf>
    <xf numFmtId="171" fontId="14" fillId="0" borderId="69" xfId="34" applyNumberFormat="1" applyFont="1" applyBorder="1"/>
    <xf numFmtId="0" fontId="47" fillId="0" borderId="69" xfId="0" applyFont="1" applyBorder="1" applyAlignment="1">
      <alignment horizontal="left" vertical="center"/>
    </xf>
    <xf numFmtId="171" fontId="1" fillId="0" borderId="69" xfId="34" applyNumberFormat="1" applyFont="1" applyBorder="1" applyAlignment="1">
      <alignment horizontal="right"/>
    </xf>
    <xf numFmtId="0" fontId="47" fillId="0" borderId="113" xfId="0" applyFont="1" applyFill="1" applyBorder="1" applyAlignment="1">
      <alignment vertical="center"/>
    </xf>
    <xf numFmtId="0" fontId="42" fillId="0" borderId="113" xfId="0" applyFont="1" applyBorder="1" applyAlignment="1">
      <alignment vertical="center"/>
    </xf>
    <xf numFmtId="0" fontId="42" fillId="23" borderId="69" xfId="0" applyFont="1" applyFill="1" applyBorder="1" applyAlignment="1">
      <alignment vertical="center"/>
    </xf>
    <xf numFmtId="0" fontId="42" fillId="23" borderId="69" xfId="0" applyFont="1" applyFill="1" applyBorder="1" applyAlignment="1">
      <alignment horizontal="left" vertical="center"/>
    </xf>
    <xf numFmtId="171" fontId="14" fillId="23" borderId="69" xfId="34" applyNumberFormat="1" applyFont="1" applyFill="1" applyBorder="1"/>
    <xf numFmtId="0" fontId="0" fillId="0" borderId="113" xfId="0" applyBorder="1"/>
    <xf numFmtId="0" fontId="54" fillId="0" borderId="69" xfId="0" applyFont="1" applyBorder="1"/>
    <xf numFmtId="0" fontId="54" fillId="0" borderId="114" xfId="0" applyFont="1" applyBorder="1"/>
    <xf numFmtId="0" fontId="0" fillId="0" borderId="32" xfId="0" applyBorder="1"/>
    <xf numFmtId="171" fontId="14" fillId="24" borderId="16" xfId="34" applyNumberFormat="1" applyFont="1" applyFill="1" applyBorder="1" applyAlignment="1">
      <alignment horizontal="right"/>
    </xf>
    <xf numFmtId="171" fontId="38" fillId="24" borderId="16" xfId="34" applyNumberFormat="1" applyFont="1" applyFill="1" applyBorder="1" applyAlignment="1">
      <alignment horizontal="right"/>
    </xf>
    <xf numFmtId="171" fontId="14" fillId="24" borderId="41" xfId="34" applyNumberFormat="1" applyFont="1" applyFill="1" applyBorder="1" applyAlignment="1"/>
    <xf numFmtId="171" fontId="14" fillId="24" borderId="115" xfId="34" applyNumberFormat="1" applyFont="1" applyFill="1" applyBorder="1" applyAlignment="1"/>
    <xf numFmtId="171" fontId="14" fillId="24" borderId="16" xfId="34" applyNumberFormat="1" applyFont="1" applyFill="1" applyBorder="1"/>
    <xf numFmtId="171" fontId="38" fillId="24" borderId="24" xfId="34" applyNumberFormat="1" applyFont="1" applyFill="1" applyBorder="1" applyAlignment="1">
      <alignment horizontal="right"/>
    </xf>
    <xf numFmtId="171" fontId="14" fillId="0" borderId="0" xfId="34" applyNumberFormat="1" applyFont="1"/>
    <xf numFmtId="171" fontId="1" fillId="0" borderId="0" xfId="34" applyNumberFormat="1"/>
    <xf numFmtId="171" fontId="1" fillId="25" borderId="116" xfId="34" applyNumberFormat="1" applyFill="1" applyBorder="1"/>
    <xf numFmtId="171" fontId="1" fillId="25" borderId="117" xfId="34" applyNumberFormat="1" applyFill="1" applyBorder="1"/>
    <xf numFmtId="171" fontId="1" fillId="25" borderId="118" xfId="34" applyNumberFormat="1" applyFill="1" applyBorder="1"/>
    <xf numFmtId="0" fontId="1" fillId="0" borderId="69" xfId="34" applyNumberFormat="1" applyBorder="1"/>
    <xf numFmtId="171" fontId="1" fillId="0" borderId="119" xfId="34" applyNumberFormat="1" applyFill="1" applyBorder="1"/>
    <xf numFmtId="171" fontId="34" fillId="26" borderId="119" xfId="34" applyNumberFormat="1" applyFont="1" applyFill="1" applyBorder="1"/>
    <xf numFmtId="171" fontId="1" fillId="0" borderId="119" xfId="34" applyNumberFormat="1" applyBorder="1"/>
    <xf numFmtId="171" fontId="1" fillId="26" borderId="119" xfId="34" applyNumberFormat="1" applyFill="1" applyBorder="1"/>
    <xf numFmtId="0" fontId="1" fillId="0" borderId="120" xfId="34" applyNumberFormat="1" applyBorder="1"/>
    <xf numFmtId="171" fontId="1" fillId="0" borderId="120" xfId="34" applyNumberFormat="1" applyFill="1" applyBorder="1"/>
    <xf numFmtId="171" fontId="1" fillId="0" borderId="120" xfId="34" applyNumberFormat="1" applyBorder="1"/>
    <xf numFmtId="171" fontId="1" fillId="26" borderId="120" xfId="34" applyNumberFormat="1" applyFill="1" applyBorder="1"/>
    <xf numFmtId="0" fontId="1" fillId="25" borderId="116" xfId="34" applyNumberFormat="1" applyFill="1" applyBorder="1"/>
    <xf numFmtId="0" fontId="1" fillId="0" borderId="119" xfId="34" applyNumberFormat="1" applyBorder="1"/>
    <xf numFmtId="171" fontId="1" fillId="0" borderId="69" xfId="34" applyNumberFormat="1" applyFill="1" applyBorder="1"/>
    <xf numFmtId="171" fontId="1" fillId="26" borderId="69" xfId="34" applyNumberFormat="1" applyFill="1" applyBorder="1"/>
    <xf numFmtId="171" fontId="14" fillId="25" borderId="69" xfId="34" applyNumberFormat="1" applyFont="1" applyFill="1" applyBorder="1"/>
    <xf numFmtId="171" fontId="1" fillId="0" borderId="0" xfId="34" applyNumberFormat="1" applyBorder="1"/>
    <xf numFmtId="171" fontId="1" fillId="0" borderId="0" xfId="34" applyNumberFormat="1" applyFill="1" applyBorder="1"/>
    <xf numFmtId="0" fontId="28" fillId="0" borderId="65" xfId="0" applyFont="1" applyBorder="1" applyAlignment="1">
      <alignment horizontal="center" vertical="center"/>
    </xf>
    <xf numFmtId="0" fontId="56" fillId="0" borderId="65" xfId="0" applyFont="1" applyBorder="1" applyAlignment="1">
      <alignment horizontal="center" vertical="center"/>
    </xf>
    <xf numFmtId="0" fontId="49" fillId="0" borderId="65" xfId="0" applyFont="1" applyBorder="1" applyAlignment="1">
      <alignment horizontal="center" vertical="center"/>
    </xf>
    <xf numFmtId="0" fontId="56" fillId="0" borderId="65" xfId="0" applyFont="1" applyBorder="1" applyAlignment="1">
      <alignment vertical="center"/>
    </xf>
    <xf numFmtId="0" fontId="0" fillId="0" borderId="65" xfId="0" applyFont="1" applyBorder="1" applyAlignment="1">
      <alignment vertical="center"/>
    </xf>
    <xf numFmtId="0" fontId="56" fillId="0" borderId="65" xfId="0" applyFont="1" applyBorder="1" applyAlignment="1">
      <alignment horizontal="left" vertical="center"/>
    </xf>
    <xf numFmtId="0" fontId="58" fillId="0" borderId="65" xfId="0" applyFont="1" applyBorder="1" applyAlignment="1">
      <alignment vertical="center"/>
    </xf>
    <xf numFmtId="0" fontId="59" fillId="0" borderId="65" xfId="0" applyFont="1" applyBorder="1" applyAlignment="1">
      <alignment vertical="center"/>
    </xf>
    <xf numFmtId="0" fontId="33" fillId="0" borderId="65" xfId="0" applyFont="1" applyBorder="1" applyAlignment="1">
      <alignment vertical="center"/>
    </xf>
    <xf numFmtId="0" fontId="28" fillId="0" borderId="65" xfId="0" applyFont="1" applyBorder="1" applyAlignment="1">
      <alignment vertical="center"/>
    </xf>
    <xf numFmtId="0" fontId="63" fillId="0" borderId="65" xfId="0" applyFont="1" applyBorder="1" applyAlignment="1">
      <alignment vertical="center"/>
    </xf>
    <xf numFmtId="0" fontId="28" fillId="0" borderId="67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56" fillId="0" borderId="67" xfId="0" applyFont="1" applyBorder="1" applyAlignment="1">
      <alignment horizontal="left" vertical="center"/>
    </xf>
    <xf numFmtId="0" fontId="56" fillId="0" borderId="67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89" xfId="0" applyFont="1" applyBorder="1" applyAlignment="1">
      <alignment vertical="center"/>
    </xf>
    <xf numFmtId="0" fontId="0" fillId="0" borderId="89" xfId="0" applyFont="1" applyBorder="1" applyAlignment="1">
      <alignment vertical="center"/>
    </xf>
    <xf numFmtId="0" fontId="56" fillId="0" borderId="89" xfId="0" applyFont="1" applyBorder="1" applyAlignment="1">
      <alignment horizontal="left" vertical="center"/>
    </xf>
    <xf numFmtId="0" fontId="56" fillId="0" borderId="89" xfId="0" applyFont="1" applyBorder="1" applyAlignment="1">
      <alignment vertical="center"/>
    </xf>
    <xf numFmtId="0" fontId="58" fillId="0" borderId="89" xfId="0" applyFont="1" applyBorder="1" applyAlignment="1">
      <alignment vertical="center"/>
    </xf>
    <xf numFmtId="0" fontId="65" fillId="0" borderId="65" xfId="0" applyFont="1" applyBorder="1" applyAlignment="1">
      <alignment vertical="center"/>
    </xf>
    <xf numFmtId="0" fontId="65" fillId="0" borderId="65" xfId="0" applyFont="1" applyBorder="1" applyAlignment="1">
      <alignment horizontal="left" vertical="center"/>
    </xf>
    <xf numFmtId="0" fontId="67" fillId="0" borderId="65" xfId="0" applyFont="1" applyBorder="1" applyAlignment="1">
      <alignment vertical="center"/>
    </xf>
    <xf numFmtId="0" fontId="33" fillId="0" borderId="65" xfId="0" applyFont="1" applyBorder="1" applyAlignment="1">
      <alignment horizontal="center" vertical="center"/>
    </xf>
    <xf numFmtId="0" fontId="59" fillId="0" borderId="65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28" fillId="0" borderId="65" xfId="0" applyFont="1" applyBorder="1" applyAlignment="1">
      <alignment horizontal="left" vertical="center"/>
    </xf>
    <xf numFmtId="0" fontId="63" fillId="0" borderId="6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7" fillId="0" borderId="67" xfId="0" applyFont="1" applyBorder="1" applyAlignment="1">
      <alignment vertical="center"/>
    </xf>
    <xf numFmtId="0" fontId="0" fillId="0" borderId="67" xfId="0" applyFont="1" applyBorder="1" applyAlignment="1">
      <alignment horizontal="center" vertical="center"/>
    </xf>
    <xf numFmtId="0" fontId="28" fillId="0" borderId="6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68" fillId="0" borderId="65" xfId="0" applyFont="1" applyBorder="1" applyAlignment="1">
      <alignment horizontal="center" vertical="center"/>
    </xf>
    <xf numFmtId="2" fontId="28" fillId="0" borderId="65" xfId="0" applyNumberFormat="1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0" fillId="0" borderId="121" xfId="0" applyFont="1" applyBorder="1" applyAlignment="1">
      <alignment vertical="center"/>
    </xf>
    <xf numFmtId="0" fontId="0" fillId="0" borderId="82" xfId="0" applyFont="1" applyBorder="1" applyAlignment="1">
      <alignment vertical="center"/>
    </xf>
    <xf numFmtId="0" fontId="0" fillId="0" borderId="0" xfId="0" applyBorder="1" applyAlignment="1">
      <alignment vertical="center"/>
    </xf>
    <xf numFmtId="172" fontId="16" fillId="0" borderId="122" xfId="33" applyNumberFormat="1" applyBorder="1" applyAlignment="1">
      <alignment horizontal="right" vertical="center"/>
    </xf>
    <xf numFmtId="172" fontId="16" fillId="13" borderId="122" xfId="33" applyNumberFormat="1" applyFill="1" applyBorder="1" applyAlignment="1">
      <alignment horizontal="right" vertical="center"/>
    </xf>
    <xf numFmtId="172" fontId="16" fillId="0" borderId="122" xfId="33" applyNumberFormat="1" applyFont="1" applyBorder="1" applyAlignment="1">
      <alignment horizontal="right" vertical="center"/>
    </xf>
    <xf numFmtId="172" fontId="78" fillId="0" borderId="122" xfId="33" applyNumberFormat="1" applyFont="1" applyBorder="1" applyAlignment="1">
      <alignment horizontal="right" vertical="center"/>
    </xf>
    <xf numFmtId="172" fontId="33" fillId="0" borderId="122" xfId="33" applyNumberFormat="1" applyFont="1" applyBorder="1" applyAlignment="1">
      <alignment horizontal="right" vertical="center"/>
    </xf>
    <xf numFmtId="172" fontId="16" fillId="13" borderId="122" xfId="33" applyNumberFormat="1" applyFont="1" applyFill="1" applyBorder="1" applyAlignment="1">
      <alignment horizontal="right" vertical="center"/>
    </xf>
    <xf numFmtId="172" fontId="49" fillId="0" borderId="123" xfId="0" applyNumberFormat="1" applyFont="1" applyBorder="1" applyAlignment="1">
      <alignment horizontal="right" vertical="center"/>
    </xf>
    <xf numFmtId="172" fontId="40" fillId="0" borderId="123" xfId="0" applyNumberFormat="1" applyFont="1" applyBorder="1" applyAlignment="1">
      <alignment horizontal="right" vertical="center"/>
    </xf>
    <xf numFmtId="172" fontId="57" fillId="13" borderId="123" xfId="0" applyNumberFormat="1" applyFont="1" applyFill="1" applyBorder="1" applyAlignment="1">
      <alignment horizontal="right" vertical="center"/>
    </xf>
    <xf numFmtId="172" fontId="60" fillId="0" borderId="123" xfId="0" applyNumberFormat="1" applyFont="1" applyBorder="1" applyAlignment="1">
      <alignment horizontal="right" vertical="center"/>
    </xf>
    <xf numFmtId="172" fontId="40" fillId="13" borderId="123" xfId="0" applyNumberFormat="1" applyFont="1" applyFill="1" applyBorder="1" applyAlignment="1">
      <alignment horizontal="right" vertical="center"/>
    </xf>
    <xf numFmtId="172" fontId="84" fillId="0" borderId="123" xfId="0" applyNumberFormat="1" applyFont="1" applyBorder="1" applyAlignment="1">
      <alignment horizontal="right" vertical="center"/>
    </xf>
    <xf numFmtId="172" fontId="61" fillId="0" borderId="123" xfId="0" applyNumberFormat="1" applyFont="1" applyBorder="1" applyAlignment="1">
      <alignment horizontal="right" vertical="center"/>
    </xf>
    <xf numFmtId="172" fontId="49" fillId="13" borderId="123" xfId="0" applyNumberFormat="1" applyFont="1" applyFill="1" applyBorder="1" applyAlignment="1">
      <alignment horizontal="right" vertical="center"/>
    </xf>
    <xf numFmtId="172" fontId="61" fillId="13" borderId="123" xfId="0" applyNumberFormat="1" applyFont="1" applyFill="1" applyBorder="1" applyAlignment="1">
      <alignment horizontal="right" vertical="center"/>
    </xf>
    <xf numFmtId="172" fontId="60" fillId="13" borderId="123" xfId="0" applyNumberFormat="1" applyFont="1" applyFill="1" applyBorder="1" applyAlignment="1">
      <alignment horizontal="right" vertical="center"/>
    </xf>
    <xf numFmtId="172" fontId="16" fillId="0" borderId="124" xfId="33" applyNumberFormat="1" applyBorder="1" applyAlignment="1">
      <alignment horizontal="right" vertical="center"/>
    </xf>
    <xf numFmtId="172" fontId="16" fillId="0" borderId="123" xfId="33" applyNumberFormat="1" applyBorder="1" applyAlignment="1">
      <alignment horizontal="right" vertical="center"/>
    </xf>
    <xf numFmtId="172" fontId="16" fillId="13" borderId="123" xfId="33" applyNumberFormat="1" applyFill="1" applyBorder="1" applyAlignment="1">
      <alignment horizontal="right" vertical="center"/>
    </xf>
    <xf numFmtId="172" fontId="33" fillId="0" borderId="123" xfId="33" applyNumberFormat="1" applyFont="1" applyBorder="1" applyAlignment="1">
      <alignment horizontal="right" vertical="center"/>
    </xf>
    <xf numFmtId="172" fontId="33" fillId="13" borderId="123" xfId="33" applyNumberFormat="1" applyFont="1" applyFill="1" applyBorder="1" applyAlignment="1">
      <alignment horizontal="right" vertical="center"/>
    </xf>
    <xf numFmtId="172" fontId="40" fillId="0" borderId="125" xfId="0" applyNumberFormat="1" applyFont="1" applyBorder="1" applyAlignment="1">
      <alignment horizontal="right" vertical="center"/>
    </xf>
    <xf numFmtId="172" fontId="57" fillId="13" borderId="125" xfId="0" applyNumberFormat="1" applyFont="1" applyFill="1" applyBorder="1" applyAlignment="1">
      <alignment horizontal="right" vertical="center"/>
    </xf>
    <xf numFmtId="172" fontId="40" fillId="13" borderId="125" xfId="0" applyNumberFormat="1" applyFont="1" applyFill="1" applyBorder="1" applyAlignment="1">
      <alignment horizontal="right" vertical="center"/>
    </xf>
    <xf numFmtId="172" fontId="61" fillId="0" borderId="125" xfId="0" applyNumberFormat="1" applyFont="1" applyBorder="1" applyAlignment="1">
      <alignment horizontal="right" vertical="center"/>
    </xf>
    <xf numFmtId="172" fontId="61" fillId="13" borderId="125" xfId="0" applyNumberFormat="1" applyFont="1" applyFill="1" applyBorder="1" applyAlignment="1">
      <alignment horizontal="right" vertical="center"/>
    </xf>
    <xf numFmtId="172" fontId="40" fillId="0" borderId="126" xfId="0" applyNumberFormat="1" applyFont="1" applyBorder="1" applyAlignment="1">
      <alignment horizontal="right" vertical="center"/>
    </xf>
    <xf numFmtId="172" fontId="57" fillId="13" borderId="126" xfId="0" applyNumberFormat="1" applyFont="1" applyFill="1" applyBorder="1" applyAlignment="1">
      <alignment horizontal="right" vertical="center"/>
    </xf>
    <xf numFmtId="172" fontId="40" fillId="13" borderId="126" xfId="0" applyNumberFormat="1" applyFont="1" applyFill="1" applyBorder="1" applyAlignment="1">
      <alignment horizontal="right" vertical="center"/>
    </xf>
    <xf numFmtId="0" fontId="50" fillId="0" borderId="65" xfId="0" applyFont="1" applyBorder="1" applyAlignment="1">
      <alignment vertical="center"/>
    </xf>
    <xf numFmtId="172" fontId="28" fillId="0" borderId="127" xfId="0" applyNumberFormat="1" applyFont="1" applyBorder="1" applyAlignment="1">
      <alignment horizontal="right" vertical="center"/>
    </xf>
    <xf numFmtId="172" fontId="58" fillId="13" borderId="127" xfId="0" applyNumberFormat="1" applyFont="1" applyFill="1" applyBorder="1" applyAlignment="1">
      <alignment horizontal="right" vertical="center"/>
    </xf>
    <xf numFmtId="172" fontId="28" fillId="13" borderId="127" xfId="0" applyNumberFormat="1" applyFont="1" applyFill="1" applyBorder="1" applyAlignment="1">
      <alignment horizontal="right" vertical="center"/>
    </xf>
    <xf numFmtId="0" fontId="28" fillId="0" borderId="48" xfId="0" applyFont="1" applyBorder="1" applyAlignment="1">
      <alignment vertical="center"/>
    </xf>
    <xf numFmtId="0" fontId="28" fillId="0" borderId="55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128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13" borderId="129" xfId="0" applyFont="1" applyFill="1" applyBorder="1" applyAlignment="1">
      <alignment horizontal="center" vertical="center"/>
    </xf>
    <xf numFmtId="0" fontId="0" fillId="13" borderId="65" xfId="0" applyFont="1" applyFill="1" applyBorder="1" applyAlignment="1">
      <alignment horizontal="center" vertical="center"/>
    </xf>
    <xf numFmtId="0" fontId="0" fillId="13" borderId="130" xfId="0" applyFont="1" applyFill="1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54" fillId="16" borderId="121" xfId="0" applyFont="1" applyFill="1" applyBorder="1" applyAlignment="1">
      <alignment vertical="center"/>
    </xf>
    <xf numFmtId="0" fontId="0" fillId="0" borderId="82" xfId="0" applyFont="1" applyBorder="1" applyAlignment="1">
      <alignment horizontal="center" vertical="center"/>
    </xf>
    <xf numFmtId="0" fontId="54" fillId="16" borderId="121" xfId="0" applyFont="1" applyFill="1" applyBorder="1" applyAlignment="1">
      <alignment horizontal="left" vertical="center"/>
    </xf>
    <xf numFmtId="0" fontId="0" fillId="0" borderId="85" xfId="0" applyFont="1" applyBorder="1" applyAlignment="1">
      <alignment horizontal="center" vertical="center"/>
    </xf>
    <xf numFmtId="0" fontId="28" fillId="16" borderId="82" xfId="0" applyFont="1" applyFill="1" applyBorder="1" applyAlignment="1">
      <alignment vertical="center"/>
    </xf>
    <xf numFmtId="0" fontId="85" fillId="0" borderId="0" xfId="0" applyFont="1" applyAlignment="1">
      <alignment vertical="center"/>
    </xf>
    <xf numFmtId="0" fontId="50" fillId="0" borderId="121" xfId="0" applyFont="1" applyBorder="1" applyAlignment="1">
      <alignment vertical="center"/>
    </xf>
    <xf numFmtId="0" fontId="0" fillId="0" borderId="87" xfId="0" applyFont="1" applyBorder="1" applyAlignment="1">
      <alignment horizontal="center" vertical="center"/>
    </xf>
    <xf numFmtId="0" fontId="64" fillId="16" borderId="121" xfId="0" applyFont="1" applyFill="1" applyBorder="1" applyAlignment="1">
      <alignment vertical="center"/>
    </xf>
    <xf numFmtId="0" fontId="63" fillId="0" borderId="0" xfId="0" applyFont="1" applyBorder="1" applyAlignment="1">
      <alignment horizontal="center" vertical="center"/>
    </xf>
    <xf numFmtId="0" fontId="54" fillId="16" borderId="121" xfId="0" applyFont="1" applyFill="1" applyBorder="1" applyAlignment="1">
      <alignment vertical="center" wrapText="1"/>
    </xf>
    <xf numFmtId="0" fontId="50" fillId="16" borderId="65" xfId="0" applyFont="1" applyFill="1" applyBorder="1" applyAlignment="1">
      <alignment vertical="center"/>
    </xf>
    <xf numFmtId="0" fontId="66" fillId="0" borderId="121" xfId="0" applyFont="1" applyBorder="1" applyAlignment="1">
      <alignment vertical="center"/>
    </xf>
    <xf numFmtId="0" fontId="0" fillId="0" borderId="121" xfId="0" applyFont="1" applyBorder="1" applyAlignment="1">
      <alignment horizontal="center" vertical="center"/>
    </xf>
    <xf numFmtId="171" fontId="16" fillId="0" borderId="0" xfId="33" applyNumberFormat="1" applyAlignment="1">
      <alignment vertical="center"/>
    </xf>
    <xf numFmtId="0" fontId="50" fillId="0" borderId="82" xfId="0" applyFont="1" applyBorder="1" applyAlignment="1">
      <alignment vertical="center" wrapText="1"/>
    </xf>
    <xf numFmtId="0" fontId="50" fillId="0" borderId="65" xfId="0" applyFont="1" applyBorder="1" applyAlignment="1">
      <alignment vertical="center" wrapText="1"/>
    </xf>
    <xf numFmtId="0" fontId="50" fillId="0" borderId="67" xfId="0" applyFont="1" applyBorder="1" applyAlignment="1">
      <alignment vertical="center" wrapText="1"/>
    </xf>
    <xf numFmtId="0" fontId="50" fillId="0" borderId="0" xfId="0" applyFont="1" applyBorder="1" applyAlignment="1">
      <alignment vertical="center" wrapText="1"/>
    </xf>
    <xf numFmtId="6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72" fontId="49" fillId="0" borderId="124" xfId="0" applyNumberFormat="1" applyFont="1" applyBorder="1" applyAlignment="1">
      <alignment horizontal="right" vertical="center"/>
    </xf>
    <xf numFmtId="172" fontId="62" fillId="0" borderId="124" xfId="0" applyNumberFormat="1" applyFont="1" applyBorder="1" applyAlignment="1">
      <alignment horizontal="right" vertical="center"/>
    </xf>
    <xf numFmtId="172" fontId="49" fillId="0" borderId="134" xfId="0" applyNumberFormat="1" applyFont="1" applyBorder="1" applyAlignment="1">
      <alignment horizontal="right" vertical="center"/>
    </xf>
    <xf numFmtId="172" fontId="28" fillId="0" borderId="135" xfId="0" applyNumberFormat="1" applyFont="1" applyBorder="1" applyAlignment="1">
      <alignment horizontal="right" vertical="center"/>
    </xf>
    <xf numFmtId="172" fontId="49" fillId="0" borderId="136" xfId="0" applyNumberFormat="1" applyFont="1" applyBorder="1" applyAlignment="1">
      <alignment horizontal="right" vertical="center"/>
    </xf>
    <xf numFmtId="172" fontId="40" fillId="0" borderId="124" xfId="0" applyNumberFormat="1" applyFont="1" applyBorder="1" applyAlignment="1">
      <alignment horizontal="right" vertical="center"/>
    </xf>
    <xf numFmtId="172" fontId="62" fillId="0" borderId="134" xfId="0" applyNumberFormat="1" applyFont="1" applyBorder="1" applyAlignment="1">
      <alignment horizontal="right" vertical="center"/>
    </xf>
    <xf numFmtId="172" fontId="62" fillId="0" borderId="136" xfId="0" applyNumberFormat="1" applyFont="1" applyBorder="1" applyAlignment="1">
      <alignment horizontal="right" vertical="center"/>
    </xf>
    <xf numFmtId="172" fontId="16" fillId="0" borderId="137" xfId="33" applyNumberFormat="1" applyBorder="1" applyAlignment="1">
      <alignment horizontal="right" vertical="center"/>
    </xf>
    <xf numFmtId="0" fontId="0" fillId="0" borderId="102" xfId="0" applyBorder="1" applyAlignment="1">
      <alignment horizontal="center" vertical="center"/>
    </xf>
    <xf numFmtId="0" fontId="86" fillId="0" borderId="0" xfId="0" applyFont="1" applyBorder="1" applyAlignment="1">
      <alignment vertical="center"/>
    </xf>
    <xf numFmtId="172" fontId="40" fillId="0" borderId="138" xfId="0" applyNumberFormat="1" applyFont="1" applyBorder="1" applyAlignment="1">
      <alignment horizontal="right" vertical="center"/>
    </xf>
    <xf numFmtId="172" fontId="40" fillId="0" borderId="139" xfId="0" applyNumberFormat="1" applyFont="1" applyBorder="1" applyAlignment="1">
      <alignment horizontal="right" vertical="center"/>
    </xf>
    <xf numFmtId="172" fontId="28" fillId="0" borderId="140" xfId="0" applyNumberFormat="1" applyFont="1" applyBorder="1" applyAlignment="1">
      <alignment horizontal="right" vertical="center"/>
    </xf>
    <xf numFmtId="172" fontId="40" fillId="0" borderId="141" xfId="0" applyNumberFormat="1" applyFont="1" applyBorder="1" applyAlignment="1">
      <alignment horizontal="right" vertical="center"/>
    </xf>
    <xf numFmtId="172" fontId="16" fillId="0" borderId="142" xfId="33" applyNumberFormat="1" applyBorder="1" applyAlignment="1">
      <alignment horizontal="right" vertical="center"/>
    </xf>
    <xf numFmtId="172" fontId="40" fillId="0" borderId="136" xfId="0" applyNumberFormat="1" applyFont="1" applyBorder="1" applyAlignment="1">
      <alignment horizontal="right" vertical="center"/>
    </xf>
    <xf numFmtId="172" fontId="85" fillId="0" borderId="143" xfId="0" applyNumberFormat="1" applyFont="1" applyBorder="1" applyAlignment="1">
      <alignment horizontal="right" vertical="center"/>
    </xf>
    <xf numFmtId="172" fontId="16" fillId="0" borderId="144" xfId="33" applyNumberFormat="1" applyBorder="1" applyAlignment="1">
      <alignment horizontal="right" vertical="center"/>
    </xf>
    <xf numFmtId="172" fontId="85" fillId="0" borderId="145" xfId="0" applyNumberFormat="1" applyFont="1" applyBorder="1" applyAlignment="1">
      <alignment horizontal="right" vertical="center"/>
    </xf>
    <xf numFmtId="172" fontId="85" fillId="0" borderId="146" xfId="0" applyNumberFormat="1" applyFont="1" applyBorder="1" applyAlignment="1">
      <alignment horizontal="right" vertical="center"/>
    </xf>
    <xf numFmtId="172" fontId="16" fillId="0" borderId="147" xfId="33" applyNumberFormat="1" applyBorder="1" applyAlignment="1">
      <alignment horizontal="right" vertical="center"/>
    </xf>
    <xf numFmtId="172" fontId="16" fillId="0" borderId="148" xfId="33" applyNumberFormat="1" applyBorder="1" applyAlignment="1">
      <alignment horizontal="right" vertical="center"/>
    </xf>
    <xf numFmtId="0" fontId="16" fillId="27" borderId="149" xfId="0" applyFont="1" applyFill="1" applyBorder="1" applyAlignment="1">
      <alignment vertical="center"/>
    </xf>
    <xf numFmtId="0" fontId="16" fillId="27" borderId="149" xfId="0" applyFont="1" applyFill="1" applyBorder="1" applyAlignment="1">
      <alignment horizontal="left" vertical="center"/>
    </xf>
    <xf numFmtId="0" fontId="16" fillId="27" borderId="150" xfId="0" applyFont="1" applyFill="1" applyBorder="1" applyAlignment="1">
      <alignment vertical="center"/>
    </xf>
    <xf numFmtId="0" fontId="16" fillId="27" borderId="151" xfId="0" applyFont="1" applyFill="1" applyBorder="1" applyAlignment="1">
      <alignment vertical="center"/>
    </xf>
    <xf numFmtId="0" fontId="16" fillId="25" borderId="152" xfId="0" applyFont="1" applyFill="1" applyBorder="1" applyAlignment="1">
      <alignment vertical="center"/>
    </xf>
    <xf numFmtId="0" fontId="16" fillId="25" borderId="149" xfId="0" applyFont="1" applyFill="1" applyBorder="1" applyAlignment="1">
      <alignment vertical="center"/>
    </xf>
    <xf numFmtId="0" fontId="16" fillId="28" borderId="149" xfId="0" applyFont="1" applyFill="1" applyBorder="1" applyAlignment="1">
      <alignment vertical="center"/>
    </xf>
    <xf numFmtId="0" fontId="16" fillId="27" borderId="149" xfId="0" applyFont="1" applyFill="1" applyBorder="1" applyAlignment="1">
      <alignment vertical="center" wrapText="1"/>
    </xf>
    <xf numFmtId="0" fontId="28" fillId="27" borderId="151" xfId="0" applyFont="1" applyFill="1" applyBorder="1" applyAlignment="1">
      <alignment vertical="center"/>
    </xf>
    <xf numFmtId="0" fontId="40" fillId="25" borderId="152" xfId="0" applyFont="1" applyFill="1" applyBorder="1" applyAlignment="1">
      <alignment vertical="center"/>
    </xf>
    <xf numFmtId="0" fontId="28" fillId="25" borderId="149" xfId="0" applyFont="1" applyFill="1" applyBorder="1" applyAlignment="1">
      <alignment vertical="center" wrapText="1"/>
    </xf>
    <xf numFmtId="0" fontId="28" fillId="25" borderId="153" xfId="0" applyFont="1" applyFill="1" applyBorder="1" applyAlignment="1">
      <alignment vertical="center" wrapText="1"/>
    </xf>
    <xf numFmtId="0" fontId="85" fillId="25" borderId="151" xfId="0" applyFont="1" applyFill="1" applyBorder="1" applyAlignment="1">
      <alignment vertical="center"/>
    </xf>
    <xf numFmtId="0" fontId="28" fillId="25" borderId="154" xfId="0" applyFont="1" applyFill="1" applyBorder="1" applyAlignment="1">
      <alignment vertical="center" wrapText="1"/>
    </xf>
    <xf numFmtId="0" fontId="28" fillId="25" borderId="155" xfId="0" applyFont="1" applyFill="1" applyBorder="1" applyAlignment="1">
      <alignment vertical="center" wrapText="1"/>
    </xf>
    <xf numFmtId="0" fontId="28" fillId="25" borderId="156" xfId="0" applyFont="1" applyFill="1" applyBorder="1" applyAlignment="1">
      <alignment vertical="center" wrapText="1"/>
    </xf>
    <xf numFmtId="6" fontId="87" fillId="0" borderId="103" xfId="0" applyNumberFormat="1" applyFont="1" applyBorder="1" applyAlignment="1">
      <alignment vertical="center"/>
    </xf>
    <xf numFmtId="0" fontId="87" fillId="0" borderId="102" xfId="0" applyFont="1" applyBorder="1" applyAlignment="1">
      <alignment horizontal="center" vertical="center"/>
    </xf>
    <xf numFmtId="171" fontId="29" fillId="0" borderId="104" xfId="33" applyNumberFormat="1" applyFont="1" applyBorder="1" applyAlignment="1">
      <alignment vertical="center"/>
    </xf>
    <xf numFmtId="0" fontId="87" fillId="0" borderId="0" xfId="0" applyFont="1" applyBorder="1" applyAlignment="1">
      <alignment vertical="center"/>
    </xf>
    <xf numFmtId="172" fontId="29" fillId="0" borderId="11" xfId="0" applyNumberFormat="1" applyFont="1" applyBorder="1" applyAlignment="1">
      <alignment horizontal="right" vertical="center"/>
    </xf>
    <xf numFmtId="172" fontId="88" fillId="0" borderId="124" xfId="0" applyNumberFormat="1" applyFont="1" applyBorder="1" applyAlignment="1">
      <alignment horizontal="right" vertical="center"/>
    </xf>
    <xf numFmtId="172" fontId="88" fillId="0" borderId="134" xfId="0" applyNumberFormat="1" applyFont="1" applyBorder="1" applyAlignment="1">
      <alignment horizontal="right" vertical="center"/>
    </xf>
    <xf numFmtId="172" fontId="40" fillId="27" borderId="157" xfId="0" applyNumberFormat="1" applyFont="1" applyFill="1" applyBorder="1" applyAlignment="1">
      <alignment horizontal="right" vertical="center"/>
    </xf>
    <xf numFmtId="172" fontId="40" fillId="27" borderId="158" xfId="0" applyNumberFormat="1" applyFont="1" applyFill="1" applyBorder="1" applyAlignment="1">
      <alignment horizontal="right" vertical="center"/>
    </xf>
    <xf numFmtId="172" fontId="28" fillId="27" borderId="22" xfId="0" applyNumberFormat="1" applyFont="1" applyFill="1" applyBorder="1" applyAlignment="1">
      <alignment horizontal="right" vertical="center"/>
    </xf>
    <xf numFmtId="172" fontId="49" fillId="25" borderId="159" xfId="0" applyNumberFormat="1" applyFont="1" applyFill="1" applyBorder="1" applyAlignment="1">
      <alignment horizontal="right" vertical="center"/>
    </xf>
    <xf numFmtId="172" fontId="49" fillId="25" borderId="157" xfId="0" applyNumberFormat="1" applyFont="1" applyFill="1" applyBorder="1" applyAlignment="1">
      <alignment horizontal="right" vertical="center"/>
    </xf>
    <xf numFmtId="172" fontId="40" fillId="28" borderId="157" xfId="0" applyNumberFormat="1" applyFont="1" applyFill="1" applyBorder="1" applyAlignment="1">
      <alignment horizontal="right" vertical="center"/>
    </xf>
    <xf numFmtId="172" fontId="40" fillId="27" borderId="157" xfId="0" applyNumberFormat="1" applyFont="1" applyFill="1" applyBorder="1" applyAlignment="1">
      <alignment horizontal="right" vertical="center" wrapText="1"/>
    </xf>
    <xf numFmtId="172" fontId="40" fillId="25" borderId="159" xfId="0" applyNumberFormat="1" applyFont="1" applyFill="1" applyBorder="1" applyAlignment="1">
      <alignment horizontal="right" vertical="center"/>
    </xf>
    <xf numFmtId="172" fontId="16" fillId="25" borderId="157" xfId="33" applyNumberFormat="1" applyFill="1" applyBorder="1" applyAlignment="1">
      <alignment horizontal="right" vertical="center"/>
    </xf>
    <xf numFmtId="172" fontId="16" fillId="25" borderId="157" xfId="33" applyNumberFormat="1" applyFill="1" applyBorder="1" applyAlignment="1">
      <alignment horizontal="right" vertical="center" wrapText="1"/>
    </xf>
    <xf numFmtId="172" fontId="16" fillId="25" borderId="160" xfId="33" applyNumberFormat="1" applyFill="1" applyBorder="1" applyAlignment="1">
      <alignment horizontal="right" vertical="center" wrapText="1"/>
    </xf>
    <xf numFmtId="172" fontId="40" fillId="27" borderId="161" xfId="0" applyNumberFormat="1" applyFont="1" applyFill="1" applyBorder="1" applyAlignment="1">
      <alignment horizontal="right" vertical="center"/>
    </xf>
    <xf numFmtId="172" fontId="40" fillId="27" borderId="162" xfId="0" applyNumberFormat="1" applyFont="1" applyFill="1" applyBorder="1" applyAlignment="1">
      <alignment horizontal="right" vertical="center"/>
    </xf>
    <xf numFmtId="172" fontId="28" fillId="27" borderId="163" xfId="0" applyNumberFormat="1" applyFont="1" applyFill="1" applyBorder="1" applyAlignment="1">
      <alignment horizontal="right" vertical="center"/>
    </xf>
    <xf numFmtId="172" fontId="49" fillId="25" borderId="164" xfId="0" applyNumberFormat="1" applyFont="1" applyFill="1" applyBorder="1" applyAlignment="1">
      <alignment horizontal="right" vertical="center"/>
    </xf>
    <xf numFmtId="172" fontId="49" fillId="25" borderId="161" xfId="0" applyNumberFormat="1" applyFont="1" applyFill="1" applyBorder="1" applyAlignment="1">
      <alignment horizontal="right" vertical="center"/>
    </xf>
    <xf numFmtId="172" fontId="40" fillId="28" borderId="161" xfId="0" applyNumberFormat="1" applyFont="1" applyFill="1" applyBorder="1" applyAlignment="1">
      <alignment horizontal="right" vertical="center"/>
    </xf>
    <xf numFmtId="172" fontId="40" fillId="27" borderId="161" xfId="0" applyNumberFormat="1" applyFont="1" applyFill="1" applyBorder="1" applyAlignment="1">
      <alignment horizontal="right" vertical="center" wrapText="1"/>
    </xf>
    <xf numFmtId="172" fontId="40" fillId="25" borderId="164" xfId="0" applyNumberFormat="1" applyFont="1" applyFill="1" applyBorder="1" applyAlignment="1">
      <alignment horizontal="right" vertical="center"/>
    </xf>
    <xf numFmtId="172" fontId="16" fillId="25" borderId="161" xfId="33" applyNumberFormat="1" applyFill="1" applyBorder="1" applyAlignment="1">
      <alignment horizontal="right" vertical="center"/>
    </xf>
    <xf numFmtId="172" fontId="16" fillId="25" borderId="161" xfId="33" applyNumberFormat="1" applyFill="1" applyBorder="1" applyAlignment="1">
      <alignment horizontal="right" vertical="center" wrapText="1"/>
    </xf>
    <xf numFmtId="172" fontId="16" fillId="25" borderId="165" xfId="33" applyNumberFormat="1" applyFill="1" applyBorder="1" applyAlignment="1">
      <alignment horizontal="right" vertical="center"/>
    </xf>
    <xf numFmtId="0" fontId="89" fillId="0" borderId="0" xfId="0" applyFont="1" applyAlignment="1">
      <alignment vertical="center"/>
    </xf>
    <xf numFmtId="172" fontId="40" fillId="13" borderId="138" xfId="0" applyNumberFormat="1" applyFont="1" applyFill="1" applyBorder="1" applyAlignment="1">
      <alignment horizontal="right" vertical="center"/>
    </xf>
    <xf numFmtId="172" fontId="40" fillId="13" borderId="139" xfId="0" applyNumberFormat="1" applyFont="1" applyFill="1" applyBorder="1" applyAlignment="1">
      <alignment horizontal="right" vertical="center"/>
    </xf>
    <xf numFmtId="172" fontId="28" fillId="13" borderId="140" xfId="0" applyNumberFormat="1" applyFont="1" applyFill="1" applyBorder="1" applyAlignment="1">
      <alignment horizontal="right" vertical="center"/>
    </xf>
    <xf numFmtId="172" fontId="40" fillId="13" borderId="141" xfId="0" applyNumberFormat="1" applyFont="1" applyFill="1" applyBorder="1" applyAlignment="1">
      <alignment horizontal="right" vertical="center"/>
    </xf>
    <xf numFmtId="172" fontId="61" fillId="13" borderId="138" xfId="0" applyNumberFormat="1" applyFont="1" applyFill="1" applyBorder="1" applyAlignment="1">
      <alignment horizontal="right" vertical="center"/>
    </xf>
    <xf numFmtId="172" fontId="16" fillId="13" borderId="138" xfId="33" applyNumberFormat="1" applyFill="1" applyBorder="1" applyAlignment="1">
      <alignment horizontal="right" vertical="center"/>
    </xf>
    <xf numFmtId="172" fontId="40" fillId="0" borderId="69" xfId="0" applyNumberFormat="1" applyFont="1" applyBorder="1" applyAlignment="1">
      <alignment horizontal="right" vertical="center"/>
    </xf>
    <xf numFmtId="172" fontId="61" fillId="0" borderId="69" xfId="0" applyNumberFormat="1" applyFont="1" applyBorder="1" applyAlignment="1">
      <alignment horizontal="right" vertical="center"/>
    </xf>
    <xf numFmtId="172" fontId="40" fillId="0" borderId="120" xfId="0" applyNumberFormat="1" applyFont="1" applyBorder="1" applyAlignment="1">
      <alignment horizontal="right" vertical="center"/>
    </xf>
    <xf numFmtId="172" fontId="28" fillId="0" borderId="17" xfId="0" applyNumberFormat="1" applyFont="1" applyBorder="1" applyAlignment="1">
      <alignment horizontal="right" vertical="center"/>
    </xf>
    <xf numFmtId="172" fontId="40" fillId="0" borderId="119" xfId="0" applyNumberFormat="1" applyFont="1" applyBorder="1" applyAlignment="1">
      <alignment horizontal="right" vertical="center"/>
    </xf>
    <xf numFmtId="172" fontId="0" fillId="0" borderId="69" xfId="0" applyNumberFormat="1" applyBorder="1" applyAlignment="1">
      <alignment horizontal="right" vertical="center"/>
    </xf>
    <xf numFmtId="172" fontId="16" fillId="0" borderId="69" xfId="33" applyNumberFormat="1" applyBorder="1" applyAlignment="1">
      <alignment horizontal="right" vertical="center"/>
    </xf>
    <xf numFmtId="172" fontId="33" fillId="0" borderId="69" xfId="33" applyNumberFormat="1" applyFont="1" applyBorder="1" applyAlignment="1">
      <alignment horizontal="right" vertical="center"/>
    </xf>
    <xf numFmtId="172" fontId="16" fillId="0" borderId="47" xfId="33" applyNumberFormat="1" applyFont="1" applyBorder="1" applyAlignment="1">
      <alignment horizontal="right" vertical="center"/>
    </xf>
    <xf numFmtId="172" fontId="40" fillId="0" borderId="134" xfId="0" applyNumberFormat="1" applyFont="1" applyBorder="1" applyAlignment="1">
      <alignment horizontal="right" vertical="center"/>
    </xf>
    <xf numFmtId="172" fontId="61" fillId="0" borderId="124" xfId="0" applyNumberFormat="1" applyFont="1" applyBorder="1" applyAlignment="1">
      <alignment horizontal="right" vertical="center"/>
    </xf>
    <xf numFmtId="172" fontId="40" fillId="13" borderId="69" xfId="0" applyNumberFormat="1" applyFont="1" applyFill="1" applyBorder="1" applyAlignment="1">
      <alignment horizontal="right" vertical="center"/>
    </xf>
    <xf numFmtId="172" fontId="61" fillId="13" borderId="69" xfId="0" applyNumberFormat="1" applyFont="1" applyFill="1" applyBorder="1" applyAlignment="1">
      <alignment horizontal="right" vertical="center"/>
    </xf>
    <xf numFmtId="172" fontId="40" fillId="13" borderId="120" xfId="0" applyNumberFormat="1" applyFont="1" applyFill="1" applyBorder="1" applyAlignment="1">
      <alignment horizontal="right" vertical="center"/>
    </xf>
    <xf numFmtId="172" fontId="28" fillId="13" borderId="17" xfId="0" applyNumberFormat="1" applyFont="1" applyFill="1" applyBorder="1" applyAlignment="1">
      <alignment horizontal="right" vertical="center"/>
    </xf>
    <xf numFmtId="172" fontId="40" fillId="13" borderId="119" xfId="0" applyNumberFormat="1" applyFont="1" applyFill="1" applyBorder="1" applyAlignment="1">
      <alignment horizontal="right" vertical="center"/>
    </xf>
    <xf numFmtId="172" fontId="57" fillId="13" borderId="69" xfId="0" applyNumberFormat="1" applyFont="1" applyFill="1" applyBorder="1" applyAlignment="1">
      <alignment horizontal="right" vertical="center"/>
    </xf>
    <xf numFmtId="172" fontId="16" fillId="13" borderId="69" xfId="33" applyNumberFormat="1" applyFill="1" applyBorder="1" applyAlignment="1">
      <alignment horizontal="right" vertical="center"/>
    </xf>
    <xf numFmtId="172" fontId="16" fillId="0" borderId="47" xfId="33" applyNumberFormat="1" applyBorder="1" applyAlignment="1">
      <alignment horizontal="right" vertical="center"/>
    </xf>
    <xf numFmtId="172" fontId="0" fillId="0" borderId="166" xfId="0" applyNumberFormat="1" applyBorder="1" applyAlignment="1">
      <alignment horizontal="right" vertical="center"/>
    </xf>
    <xf numFmtId="172" fontId="16" fillId="0" borderId="166" xfId="33" applyNumberFormat="1" applyBorder="1" applyAlignment="1">
      <alignment horizontal="right" vertical="center"/>
    </xf>
    <xf numFmtId="172" fontId="0" fillId="0" borderId="77" xfId="0" applyNumberFormat="1" applyBorder="1" applyAlignment="1">
      <alignment horizontal="right" vertical="center"/>
    </xf>
    <xf numFmtId="172" fontId="0" fillId="0" borderId="167" xfId="0" applyNumberFormat="1" applyBorder="1" applyAlignment="1">
      <alignment horizontal="right" vertical="center"/>
    </xf>
    <xf numFmtId="172" fontId="16" fillId="0" borderId="77" xfId="33" applyNumberFormat="1" applyBorder="1" applyAlignment="1">
      <alignment horizontal="right" vertical="center"/>
    </xf>
    <xf numFmtId="172" fontId="16" fillId="0" borderId="167" xfId="33" applyNumberFormat="1" applyBorder="1" applyAlignment="1">
      <alignment horizontal="right" vertical="center"/>
    </xf>
    <xf numFmtId="0" fontId="16" fillId="27" borderId="152" xfId="0" applyFont="1" applyFill="1" applyBorder="1" applyAlignment="1">
      <alignment vertical="center"/>
    </xf>
    <xf numFmtId="172" fontId="60" fillId="0" borderId="126" xfId="0" applyNumberFormat="1" applyFont="1" applyBorder="1" applyAlignment="1">
      <alignment horizontal="right" vertical="center"/>
    </xf>
    <xf numFmtId="172" fontId="40" fillId="27" borderId="164" xfId="0" applyNumberFormat="1" applyFont="1" applyFill="1" applyBorder="1" applyAlignment="1">
      <alignment horizontal="right" vertical="center"/>
    </xf>
    <xf numFmtId="172" fontId="40" fillId="27" borderId="159" xfId="0" applyNumberFormat="1" applyFont="1" applyFill="1" applyBorder="1" applyAlignment="1">
      <alignment horizontal="right" vertical="center"/>
    </xf>
    <xf numFmtId="0" fontId="50" fillId="27" borderId="45" xfId="0" applyFont="1" applyFill="1" applyBorder="1" applyAlignment="1">
      <alignment horizontal="center" vertical="center"/>
    </xf>
    <xf numFmtId="0" fontId="50" fillId="27" borderId="57" xfId="0" applyFont="1" applyFill="1" applyBorder="1" applyAlignment="1">
      <alignment horizontal="center" vertical="center"/>
    </xf>
    <xf numFmtId="0" fontId="0" fillId="25" borderId="168" xfId="0" applyFill="1" applyBorder="1" applyAlignment="1">
      <alignment vertical="center"/>
    </xf>
    <xf numFmtId="0" fontId="0" fillId="25" borderId="169" xfId="0" applyFill="1" applyBorder="1" applyAlignment="1">
      <alignment vertical="center"/>
    </xf>
    <xf numFmtId="0" fontId="50" fillId="13" borderId="170" xfId="0" applyFont="1" applyFill="1" applyBorder="1" applyAlignment="1">
      <alignment horizontal="center" vertical="center"/>
    </xf>
    <xf numFmtId="0" fontId="50" fillId="13" borderId="171" xfId="0" applyFont="1" applyFill="1" applyBorder="1" applyAlignment="1">
      <alignment horizontal="center" vertical="center"/>
    </xf>
    <xf numFmtId="0" fontId="50" fillId="13" borderId="172" xfId="0" applyFont="1" applyFill="1" applyBorder="1" applyAlignment="1">
      <alignment horizontal="center" vertical="center"/>
    </xf>
    <xf numFmtId="0" fontId="89" fillId="0" borderId="173" xfId="0" applyFont="1" applyBorder="1" applyAlignment="1">
      <alignment vertical="center"/>
    </xf>
    <xf numFmtId="0" fontId="89" fillId="0" borderId="174" xfId="0" applyFont="1" applyBorder="1" applyAlignment="1">
      <alignment vertical="center"/>
    </xf>
    <xf numFmtId="0" fontId="0" fillId="0" borderId="61" xfId="0" applyBorder="1" applyAlignment="1">
      <alignment vertical="center"/>
    </xf>
    <xf numFmtId="172" fontId="61" fillId="0" borderId="138" xfId="0" applyNumberFormat="1" applyFont="1" applyBorder="1" applyAlignment="1">
      <alignment horizontal="right" vertical="center"/>
    </xf>
    <xf numFmtId="172" fontId="16" fillId="0" borderId="138" xfId="33" applyNumberFormat="1" applyBorder="1" applyAlignment="1">
      <alignment horizontal="right" vertical="center"/>
    </xf>
    <xf numFmtId="172" fontId="40" fillId="0" borderId="175" xfId="0" applyNumberFormat="1" applyFont="1" applyBorder="1" applyAlignment="1">
      <alignment horizontal="right" vertical="center"/>
    </xf>
    <xf numFmtId="172" fontId="40" fillId="0" borderId="176" xfId="0" applyNumberFormat="1" applyFont="1" applyBorder="1" applyAlignment="1">
      <alignment horizontal="right" vertical="center"/>
    </xf>
    <xf numFmtId="172" fontId="40" fillId="0" borderId="177" xfId="0" applyNumberFormat="1" applyFont="1" applyBorder="1" applyAlignment="1">
      <alignment horizontal="right" vertical="center"/>
    </xf>
    <xf numFmtId="172" fontId="28" fillId="0" borderId="21" xfId="0" applyNumberFormat="1" applyFont="1" applyBorder="1" applyAlignment="1">
      <alignment horizontal="right" vertical="center"/>
    </xf>
    <xf numFmtId="172" fontId="16" fillId="0" borderId="176" xfId="33" applyNumberFormat="1" applyBorder="1" applyAlignment="1">
      <alignment horizontal="right" vertical="center"/>
    </xf>
    <xf numFmtId="172" fontId="16" fillId="0" borderId="178" xfId="33" applyNumberFormat="1" applyBorder="1" applyAlignment="1">
      <alignment horizontal="right" vertical="center"/>
    </xf>
    <xf numFmtId="172" fontId="40" fillId="0" borderId="179" xfId="0" applyNumberFormat="1" applyFont="1" applyBorder="1" applyAlignment="1">
      <alignment horizontal="right" vertical="center"/>
    </xf>
    <xf numFmtId="172" fontId="40" fillId="0" borderId="180" xfId="0" applyNumberFormat="1" applyFont="1" applyBorder="1" applyAlignment="1">
      <alignment horizontal="right" vertical="center"/>
    </xf>
    <xf numFmtId="172" fontId="40" fillId="0" borderId="181" xfId="0" applyNumberFormat="1" applyFont="1" applyBorder="1" applyAlignment="1">
      <alignment horizontal="right" vertical="center"/>
    </xf>
    <xf numFmtId="172" fontId="28" fillId="0" borderId="182" xfId="0" applyNumberFormat="1" applyFont="1" applyBorder="1" applyAlignment="1">
      <alignment horizontal="right" vertical="center"/>
    </xf>
    <xf numFmtId="172" fontId="16" fillId="0" borderId="180" xfId="33" applyNumberFormat="1" applyBorder="1" applyAlignment="1">
      <alignment horizontal="right" vertical="center"/>
    </xf>
    <xf numFmtId="172" fontId="16" fillId="0" borderId="183" xfId="33" applyNumberFormat="1" applyBorder="1" applyAlignment="1">
      <alignment horizontal="right" vertical="center"/>
    </xf>
    <xf numFmtId="0" fontId="0" fillId="29" borderId="187" xfId="0" applyFill="1" applyBorder="1" applyAlignment="1">
      <alignment horizontal="left" vertical="center"/>
    </xf>
    <xf numFmtId="0" fontId="0" fillId="29" borderId="19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28" fillId="29" borderId="188" xfId="0" applyFont="1" applyFill="1" applyBorder="1" applyAlignment="1">
      <alignment horizontal="center" vertical="center"/>
    </xf>
    <xf numFmtId="169" fontId="0" fillId="29" borderId="10" xfId="0" applyNumberFormat="1" applyFill="1" applyBorder="1" applyAlignment="1">
      <alignment horizontal="right" vertical="center"/>
    </xf>
    <xf numFmtId="169" fontId="0" fillId="29" borderId="17" xfId="0" applyNumberFormat="1" applyFill="1" applyBorder="1" applyAlignment="1">
      <alignment horizontal="right" vertical="center"/>
    </xf>
    <xf numFmtId="2" fontId="28" fillId="29" borderId="188" xfId="0" applyNumberFormat="1" applyFont="1" applyFill="1" applyBorder="1" applyAlignment="1">
      <alignment horizontal="center" vertical="center"/>
    </xf>
    <xf numFmtId="169" fontId="0" fillId="29" borderId="19" xfId="0" applyNumberFormat="1" applyFill="1" applyBorder="1" applyAlignment="1">
      <alignment horizontal="right" vertical="center"/>
    </xf>
    <xf numFmtId="169" fontId="28" fillId="29" borderId="182" xfId="0" applyNumberFormat="1" applyFont="1" applyFill="1" applyBorder="1" applyAlignment="1">
      <alignment horizontal="center" vertical="center"/>
    </xf>
    <xf numFmtId="0" fontId="28" fillId="30" borderId="189" xfId="0" applyFont="1" applyFill="1" applyBorder="1" applyAlignment="1">
      <alignment horizontal="center" vertical="center" wrapText="1"/>
    </xf>
    <xf numFmtId="0" fontId="0" fillId="30" borderId="190" xfId="0" applyFill="1" applyBorder="1" applyAlignment="1">
      <alignment horizontal="center" vertical="center" wrapText="1"/>
    </xf>
    <xf numFmtId="0" fontId="0" fillId="30" borderId="57" xfId="0" applyFill="1" applyBorder="1" applyAlignment="1">
      <alignment horizontal="center" vertical="center" wrapText="1"/>
    </xf>
    <xf numFmtId="0" fontId="28" fillId="30" borderId="191" xfId="0" applyFont="1" applyFill="1" applyBorder="1" applyAlignment="1">
      <alignment horizontal="center" vertical="center" wrapText="1"/>
    </xf>
    <xf numFmtId="169" fontId="0" fillId="30" borderId="45" xfId="0" applyNumberFormat="1" applyFill="1" applyBorder="1" applyAlignment="1">
      <alignment horizontal="center" vertical="center" wrapText="1"/>
    </xf>
    <xf numFmtId="169" fontId="0" fillId="30" borderId="57" xfId="0" applyNumberFormat="1" applyFill="1" applyBorder="1" applyAlignment="1">
      <alignment horizontal="center" vertical="center" wrapText="1"/>
    </xf>
    <xf numFmtId="2" fontId="28" fillId="30" borderId="191" xfId="0" applyNumberFormat="1" applyFont="1" applyFill="1" applyBorder="1" applyAlignment="1">
      <alignment horizontal="center" vertical="center" wrapText="1"/>
    </xf>
    <xf numFmtId="169" fontId="0" fillId="30" borderId="190" xfId="0" applyNumberFormat="1" applyFont="1" applyFill="1" applyBorder="1" applyAlignment="1">
      <alignment horizontal="center" vertical="center" wrapText="1"/>
    </xf>
    <xf numFmtId="169" fontId="28" fillId="30" borderId="192" xfId="0" applyNumberFormat="1" applyFont="1" applyFill="1" applyBorder="1" applyAlignment="1">
      <alignment horizontal="center" vertical="center" wrapText="1"/>
    </xf>
    <xf numFmtId="49" fontId="28" fillId="31" borderId="193" xfId="0" applyNumberFormat="1" applyFont="1" applyFill="1" applyBorder="1" applyAlignment="1">
      <alignment horizontal="left" vertical="center"/>
    </xf>
    <xf numFmtId="3" fontId="28" fillId="31" borderId="194" xfId="0" applyNumberFormat="1" applyFont="1" applyFill="1" applyBorder="1" applyAlignment="1">
      <alignment horizontal="center" vertical="center"/>
    </xf>
    <xf numFmtId="3" fontId="28" fillId="31" borderId="195" xfId="0" applyNumberFormat="1" applyFont="1" applyFill="1" applyBorder="1" applyAlignment="1">
      <alignment horizontal="center" vertical="center"/>
    </xf>
    <xf numFmtId="2" fontId="0" fillId="19" borderId="196" xfId="0" applyNumberFormat="1" applyFill="1" applyBorder="1" applyAlignment="1">
      <alignment horizontal="center" vertical="center" wrapText="1"/>
    </xf>
    <xf numFmtId="169" fontId="16" fillId="19" borderId="197" xfId="33" applyNumberFormat="1" applyFill="1" applyBorder="1" applyAlignment="1">
      <alignment horizontal="right" vertical="center" wrapText="1"/>
    </xf>
    <xf numFmtId="169" fontId="16" fillId="19" borderId="195" xfId="33" applyNumberFormat="1" applyFill="1" applyBorder="1" applyAlignment="1">
      <alignment horizontal="right" vertical="center" wrapText="1"/>
    </xf>
    <xf numFmtId="2" fontId="16" fillId="19" borderId="196" xfId="33" applyNumberFormat="1" applyFill="1" applyBorder="1" applyAlignment="1">
      <alignment horizontal="center" vertical="center" wrapText="1"/>
    </xf>
    <xf numFmtId="169" fontId="16" fillId="19" borderId="194" xfId="33" applyNumberFormat="1" applyFill="1" applyBorder="1" applyAlignment="1">
      <alignment horizontal="right" vertical="center" wrapText="1"/>
    </xf>
    <xf numFmtId="169" fontId="16" fillId="19" borderId="198" xfId="33" applyNumberFormat="1" applyFill="1" applyBorder="1" applyAlignment="1">
      <alignment horizontal="right" vertical="center" wrapText="1"/>
    </xf>
    <xf numFmtId="0" fontId="0" fillId="19" borderId="199" xfId="0" applyFont="1" applyFill="1" applyBorder="1" applyAlignment="1">
      <alignment horizontal="left" vertical="center" wrapText="1"/>
    </xf>
    <xf numFmtId="3" fontId="0" fillId="19" borderId="117" xfId="0" applyNumberFormat="1" applyFill="1" applyBorder="1" applyAlignment="1">
      <alignment horizontal="center" vertical="center"/>
    </xf>
    <xf numFmtId="3" fontId="0" fillId="19" borderId="116" xfId="0" applyNumberFormat="1" applyFill="1" applyBorder="1" applyAlignment="1">
      <alignment horizontal="center" vertical="center"/>
    </xf>
    <xf numFmtId="0" fontId="0" fillId="19" borderId="200" xfId="0" applyFill="1" applyBorder="1" applyAlignment="1">
      <alignment horizontal="center" vertical="center"/>
    </xf>
    <xf numFmtId="169" fontId="0" fillId="19" borderId="69" xfId="0" applyNumberFormat="1" applyFill="1" applyBorder="1" applyAlignment="1">
      <alignment horizontal="right" vertical="center"/>
    </xf>
    <xf numFmtId="169" fontId="16" fillId="19" borderId="116" xfId="33" applyNumberFormat="1" applyFill="1" applyBorder="1" applyAlignment="1">
      <alignment horizontal="right" vertical="center" wrapText="1"/>
    </xf>
    <xf numFmtId="2" fontId="0" fillId="19" borderId="200" xfId="0" applyNumberFormat="1" applyFill="1" applyBorder="1" applyAlignment="1">
      <alignment horizontal="center" vertical="center"/>
    </xf>
    <xf numFmtId="169" fontId="16" fillId="19" borderId="117" xfId="33" applyNumberFormat="1" applyFill="1" applyBorder="1" applyAlignment="1">
      <alignment horizontal="right" vertical="center" wrapText="1"/>
    </xf>
    <xf numFmtId="169" fontId="16" fillId="19" borderId="180" xfId="33" applyNumberFormat="1" applyFill="1" applyBorder="1" applyAlignment="1">
      <alignment horizontal="right" vertical="center" wrapText="1"/>
    </xf>
    <xf numFmtId="0" fontId="0" fillId="19" borderId="199" xfId="0" applyFont="1" applyFill="1" applyBorder="1" applyAlignment="1">
      <alignment horizontal="left" vertical="center"/>
    </xf>
    <xf numFmtId="169" fontId="78" fillId="19" borderId="116" xfId="33" applyNumberFormat="1" applyFont="1" applyFill="1" applyBorder="1" applyAlignment="1">
      <alignment horizontal="right" vertical="center" wrapText="1"/>
    </xf>
    <xf numFmtId="0" fontId="28" fillId="32" borderId="201" xfId="0" applyFont="1" applyFill="1" applyBorder="1" applyAlignment="1">
      <alignment horizontal="left" vertical="center"/>
    </xf>
    <xf numFmtId="3" fontId="28" fillId="32" borderId="202" xfId="0" applyNumberFormat="1" applyFont="1" applyFill="1" applyBorder="1" applyAlignment="1">
      <alignment horizontal="center" vertical="center"/>
    </xf>
    <xf numFmtId="3" fontId="90" fillId="32" borderId="203" xfId="0" applyNumberFormat="1" applyFont="1" applyFill="1" applyBorder="1" applyAlignment="1">
      <alignment horizontal="center" vertical="center"/>
    </xf>
    <xf numFmtId="2" fontId="28" fillId="32" borderId="204" xfId="38" applyNumberFormat="1" applyFont="1" applyFill="1" applyBorder="1" applyAlignment="1">
      <alignment horizontal="center" vertical="center" wrapText="1"/>
    </xf>
    <xf numFmtId="169" fontId="28" fillId="32" borderId="205" xfId="33" applyNumberFormat="1" applyFont="1" applyFill="1" applyBorder="1" applyAlignment="1">
      <alignment horizontal="right" vertical="center"/>
    </xf>
    <xf numFmtId="2" fontId="28" fillId="32" borderId="205" xfId="33" applyNumberFormat="1" applyFont="1" applyFill="1" applyBorder="1" applyAlignment="1">
      <alignment horizontal="center" vertical="center"/>
    </xf>
    <xf numFmtId="169" fontId="28" fillId="32" borderId="104" xfId="33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49" fontId="28" fillId="31" borderId="193" xfId="0" applyNumberFormat="1" applyFont="1" applyFill="1" applyBorder="1" applyAlignment="1">
      <alignment horizontal="left" vertical="center"/>
    </xf>
    <xf numFmtId="3" fontId="90" fillId="31" borderId="195" xfId="0" applyNumberFormat="1" applyFont="1" applyFill="1" applyBorder="1" applyAlignment="1">
      <alignment horizontal="center" vertical="center"/>
    </xf>
    <xf numFmtId="169" fontId="16" fillId="19" borderId="196" xfId="33" applyNumberFormat="1" applyFill="1" applyBorder="1" applyAlignment="1">
      <alignment horizontal="right" vertical="center" wrapText="1"/>
    </xf>
    <xf numFmtId="3" fontId="78" fillId="19" borderId="116" xfId="0" applyNumberFormat="1" applyFont="1" applyFill="1" applyBorder="1" applyAlignment="1">
      <alignment horizontal="center" vertical="center"/>
    </xf>
    <xf numFmtId="169" fontId="28" fillId="32" borderId="202" xfId="33" applyNumberFormat="1" applyFont="1" applyFill="1" applyBorder="1" applyAlignment="1">
      <alignment horizontal="right" vertical="center" wrapText="1"/>
    </xf>
    <xf numFmtId="169" fontId="28" fillId="32" borderId="205" xfId="33" applyNumberFormat="1" applyFont="1" applyFill="1" applyBorder="1" applyAlignment="1">
      <alignment horizontal="right" vertical="center" wrapText="1"/>
    </xf>
    <xf numFmtId="2" fontId="28" fillId="32" borderId="202" xfId="33" applyNumberFormat="1" applyFont="1" applyFill="1" applyBorder="1" applyAlignment="1">
      <alignment horizontal="center" vertical="center" wrapText="1"/>
    </xf>
    <xf numFmtId="169" fontId="28" fillId="32" borderId="206" xfId="33" applyNumberFormat="1" applyFont="1" applyFill="1" applyBorder="1" applyAlignment="1">
      <alignment horizontal="right" vertical="center" wrapText="1"/>
    </xf>
    <xf numFmtId="3" fontId="0" fillId="19" borderId="117" xfId="0" applyNumberFormat="1" applyFont="1" applyFill="1" applyBorder="1" applyAlignment="1">
      <alignment horizontal="center" vertical="center"/>
    </xf>
    <xf numFmtId="169" fontId="16" fillId="19" borderId="69" xfId="33" applyNumberFormat="1" applyFill="1" applyBorder="1" applyAlignment="1">
      <alignment horizontal="right" vertical="center" wrapText="1"/>
    </xf>
    <xf numFmtId="2" fontId="16" fillId="19" borderId="200" xfId="33" applyNumberFormat="1" applyFill="1" applyBorder="1" applyAlignment="1">
      <alignment horizontal="center" vertical="center" wrapText="1"/>
    </xf>
    <xf numFmtId="3" fontId="28" fillId="33" borderId="202" xfId="0" applyNumberFormat="1" applyFont="1" applyFill="1" applyBorder="1" applyAlignment="1">
      <alignment horizontal="center" vertical="center"/>
    </xf>
    <xf numFmtId="3" fontId="90" fillId="33" borderId="203" xfId="0" applyNumberFormat="1" applyFont="1" applyFill="1" applyBorder="1" applyAlignment="1">
      <alignment horizontal="center" vertical="center"/>
    </xf>
    <xf numFmtId="169" fontId="28" fillId="33" borderId="202" xfId="33" applyNumberFormat="1" applyFont="1" applyFill="1" applyBorder="1" applyAlignment="1">
      <alignment horizontal="right" vertical="center" wrapText="1"/>
    </xf>
    <xf numFmtId="169" fontId="28" fillId="33" borderId="205" xfId="33" applyNumberFormat="1" applyFont="1" applyFill="1" applyBorder="1" applyAlignment="1">
      <alignment horizontal="right" vertical="center" wrapText="1"/>
    </xf>
    <xf numFmtId="169" fontId="28" fillId="19" borderId="205" xfId="0" applyNumberFormat="1" applyFont="1" applyFill="1" applyBorder="1" applyAlignment="1">
      <alignment horizontal="right" vertical="center"/>
    </xf>
    <xf numFmtId="2" fontId="28" fillId="33" borderId="202" xfId="33" applyNumberFormat="1" applyFont="1" applyFill="1" applyBorder="1" applyAlignment="1">
      <alignment horizontal="center" vertical="center" wrapText="1"/>
    </xf>
    <xf numFmtId="169" fontId="28" fillId="33" borderId="206" xfId="33" applyNumberFormat="1" applyFont="1" applyFill="1" applyBorder="1" applyAlignment="1">
      <alignment horizontal="right" vertical="center" wrapText="1"/>
    </xf>
    <xf numFmtId="0" fontId="28" fillId="34" borderId="207" xfId="0" applyFont="1" applyFill="1" applyBorder="1" applyAlignment="1">
      <alignment horizontal="left" vertical="center"/>
    </xf>
    <xf numFmtId="3" fontId="28" fillId="30" borderId="208" xfId="0" applyNumberFormat="1" applyFont="1" applyFill="1" applyBorder="1" applyAlignment="1">
      <alignment horizontal="center" vertical="center"/>
    </xf>
    <xf numFmtId="3" fontId="90" fillId="30" borderId="47" xfId="0" applyNumberFormat="1" applyFont="1" applyFill="1" applyBorder="1" applyAlignment="1">
      <alignment horizontal="center" vertical="center"/>
    </xf>
    <xf numFmtId="2" fontId="28" fillId="34" borderId="209" xfId="38" applyNumberFormat="1" applyFont="1" applyFill="1" applyBorder="1" applyAlignment="1">
      <alignment horizontal="center" vertical="center" wrapText="1"/>
    </xf>
    <xf numFmtId="169" fontId="28" fillId="30" borderId="47" xfId="0" applyNumberFormat="1" applyFont="1" applyFill="1" applyBorder="1" applyAlignment="1">
      <alignment horizontal="right" vertical="center"/>
    </xf>
    <xf numFmtId="2" fontId="28" fillId="30" borderId="208" xfId="33" applyNumberFormat="1" applyFont="1" applyFill="1" applyBorder="1" applyAlignment="1">
      <alignment horizontal="center" vertical="center" wrapText="1"/>
    </xf>
    <xf numFmtId="169" fontId="28" fillId="30" borderId="210" xfId="0" applyNumberFormat="1" applyFont="1" applyFill="1" applyBorder="1" applyAlignment="1">
      <alignment horizontal="right" vertical="center"/>
    </xf>
    <xf numFmtId="0" fontId="0" fillId="15" borderId="0" xfId="0" applyFill="1" applyBorder="1" applyAlignment="1">
      <alignment horizontal="center" vertical="center"/>
    </xf>
    <xf numFmtId="0" fontId="28" fillId="35" borderId="189" xfId="0" applyFont="1" applyFill="1" applyBorder="1" applyAlignment="1">
      <alignment horizontal="center" vertical="center" wrapText="1"/>
    </xf>
    <xf numFmtId="3" fontId="0" fillId="35" borderId="190" xfId="0" applyNumberFormat="1" applyFill="1" applyBorder="1" applyAlignment="1">
      <alignment horizontal="center" vertical="center" wrapText="1"/>
    </xf>
    <xf numFmtId="3" fontId="0" fillId="35" borderId="57" xfId="0" applyNumberFormat="1" applyFill="1" applyBorder="1" applyAlignment="1">
      <alignment horizontal="center" vertical="center" wrapText="1"/>
    </xf>
    <xf numFmtId="0" fontId="28" fillId="35" borderId="191" xfId="0" applyFont="1" applyFill="1" applyBorder="1" applyAlignment="1">
      <alignment horizontal="center" vertical="center" wrapText="1"/>
    </xf>
    <xf numFmtId="169" fontId="0" fillId="35" borderId="45" xfId="0" applyNumberFormat="1" applyFill="1" applyBorder="1" applyAlignment="1">
      <alignment horizontal="center" vertical="center" wrapText="1"/>
    </xf>
    <xf numFmtId="169" fontId="0" fillId="35" borderId="57" xfId="0" applyNumberFormat="1" applyFill="1" applyBorder="1" applyAlignment="1">
      <alignment horizontal="center" vertical="center" wrapText="1"/>
    </xf>
    <xf numFmtId="2" fontId="28" fillId="35" borderId="191" xfId="0" applyNumberFormat="1" applyFont="1" applyFill="1" applyBorder="1" applyAlignment="1">
      <alignment horizontal="center" vertical="center" wrapText="1"/>
    </xf>
    <xf numFmtId="169" fontId="0" fillId="35" borderId="190" xfId="0" applyNumberFormat="1" applyFont="1" applyFill="1" applyBorder="1" applyAlignment="1">
      <alignment horizontal="center" vertical="center" wrapText="1"/>
    </xf>
    <xf numFmtId="169" fontId="28" fillId="35" borderId="192" xfId="0" applyNumberFormat="1" applyFont="1" applyFill="1" applyBorder="1" applyAlignment="1">
      <alignment horizontal="center" vertical="center" wrapText="1"/>
    </xf>
    <xf numFmtId="0" fontId="0" fillId="19" borderId="0" xfId="0" applyFill="1" applyAlignment="1">
      <alignment horizontal="center" vertical="center"/>
    </xf>
    <xf numFmtId="0" fontId="0" fillId="36" borderId="0" xfId="0" applyFill="1" applyAlignment="1">
      <alignment horizontal="center" vertical="center"/>
    </xf>
    <xf numFmtId="3" fontId="0" fillId="19" borderId="116" xfId="0" applyNumberFormat="1" applyFont="1" applyFill="1" applyBorder="1" applyAlignment="1">
      <alignment horizontal="center" vertical="center"/>
    </xf>
    <xf numFmtId="169" fontId="28" fillId="33" borderId="205" xfId="0" applyNumberFormat="1" applyFont="1" applyFill="1" applyBorder="1" applyAlignment="1">
      <alignment horizontal="right" vertical="center"/>
    </xf>
    <xf numFmtId="169" fontId="28" fillId="33" borderId="104" xfId="0" applyNumberFormat="1" applyFont="1" applyFill="1" applyBorder="1" applyAlignment="1">
      <alignment horizontal="right" vertical="center"/>
    </xf>
    <xf numFmtId="169" fontId="16" fillId="19" borderId="116" xfId="33" applyNumberFormat="1" applyFont="1" applyFill="1" applyBorder="1" applyAlignment="1">
      <alignment horizontal="right" vertical="center" wrapText="1"/>
    </xf>
    <xf numFmtId="169" fontId="78" fillId="19" borderId="180" xfId="33" applyNumberFormat="1" applyFont="1" applyFill="1" applyBorder="1" applyAlignment="1">
      <alignment horizontal="right" vertical="center" wrapText="1"/>
    </xf>
    <xf numFmtId="169" fontId="78" fillId="19" borderId="69" xfId="33" applyNumberFormat="1" applyFont="1" applyFill="1" applyBorder="1" applyAlignment="1">
      <alignment horizontal="right" vertical="center" wrapText="1"/>
    </xf>
    <xf numFmtId="49" fontId="28" fillId="31" borderId="211" xfId="0" applyNumberFormat="1" applyFont="1" applyFill="1" applyBorder="1" applyAlignment="1">
      <alignment horizontal="left" vertical="center"/>
    </xf>
    <xf numFmtId="3" fontId="28" fillId="31" borderId="212" xfId="0" applyNumberFormat="1" applyFont="1" applyFill="1" applyBorder="1" applyAlignment="1">
      <alignment horizontal="center" vertical="center"/>
    </xf>
    <xf numFmtId="3" fontId="90" fillId="31" borderId="213" xfId="0" applyNumberFormat="1" applyFont="1" applyFill="1" applyBorder="1" applyAlignment="1">
      <alignment horizontal="center" vertical="center"/>
    </xf>
    <xf numFmtId="2" fontId="0" fillId="19" borderId="214" xfId="0" applyNumberFormat="1" applyFill="1" applyBorder="1" applyAlignment="1">
      <alignment horizontal="center" vertical="center" wrapText="1"/>
    </xf>
    <xf numFmtId="169" fontId="16" fillId="19" borderId="119" xfId="33" applyNumberFormat="1" applyFill="1" applyBorder="1" applyAlignment="1">
      <alignment horizontal="right" vertical="center" wrapText="1"/>
    </xf>
    <xf numFmtId="169" fontId="16" fillId="19" borderId="213" xfId="33" applyNumberFormat="1" applyFill="1" applyBorder="1" applyAlignment="1">
      <alignment horizontal="right" vertical="center" wrapText="1"/>
    </xf>
    <xf numFmtId="2" fontId="16" fillId="19" borderId="214" xfId="33" applyNumberFormat="1" applyFill="1" applyBorder="1" applyAlignment="1">
      <alignment horizontal="center" vertical="center" wrapText="1"/>
    </xf>
    <xf numFmtId="169" fontId="16" fillId="19" borderId="214" xfId="33" applyNumberFormat="1" applyFill="1" applyBorder="1" applyAlignment="1">
      <alignment horizontal="right" vertical="center" wrapText="1"/>
    </xf>
    <xf numFmtId="169" fontId="16" fillId="19" borderId="179" xfId="33" applyNumberFormat="1" applyFill="1" applyBorder="1" applyAlignment="1">
      <alignment horizontal="right" vertical="center" wrapText="1"/>
    </xf>
    <xf numFmtId="1" fontId="28" fillId="37" borderId="193" xfId="38" applyNumberFormat="1" applyFont="1" applyFill="1" applyBorder="1" applyAlignment="1">
      <alignment horizontal="center" vertical="center" wrapText="1"/>
    </xf>
    <xf numFmtId="3" fontId="28" fillId="37" borderId="215" xfId="38" applyNumberFormat="1" applyFont="1" applyFill="1" applyBorder="1" applyAlignment="1">
      <alignment horizontal="center" vertical="center" wrapText="1"/>
    </xf>
    <xf numFmtId="3" fontId="90" fillId="37" borderId="196" xfId="38" applyNumberFormat="1" applyFont="1" applyFill="1" applyBorder="1" applyAlignment="1">
      <alignment horizontal="center" vertical="center" wrapText="1"/>
    </xf>
    <xf numFmtId="2" fontId="28" fillId="37" borderId="196" xfId="38" applyNumberFormat="1" applyFont="1" applyFill="1" applyBorder="1" applyAlignment="1">
      <alignment horizontal="center" vertical="center" wrapText="1"/>
    </xf>
    <xf numFmtId="169" fontId="28" fillId="37" borderId="196" xfId="38" applyNumberFormat="1" applyFont="1" applyFill="1" applyBorder="1" applyAlignment="1">
      <alignment horizontal="right" vertical="center" wrapText="1"/>
    </xf>
    <xf numFmtId="169" fontId="90" fillId="37" borderId="196" xfId="33" applyNumberFormat="1" applyFont="1" applyFill="1" applyBorder="1" applyAlignment="1">
      <alignment horizontal="right" vertical="center" wrapText="1"/>
    </xf>
    <xf numFmtId="2" fontId="28" fillId="37" borderId="194" xfId="33" applyNumberFormat="1" applyFont="1" applyFill="1" applyBorder="1" applyAlignment="1">
      <alignment horizontal="center" vertical="center" wrapText="1"/>
    </xf>
    <xf numFmtId="169" fontId="90" fillId="37" borderId="198" xfId="38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center" vertical="center"/>
    </xf>
    <xf numFmtId="0" fontId="91" fillId="0" borderId="199" xfId="0" applyFont="1" applyBorder="1" applyAlignment="1">
      <alignment horizontal="right" vertical="center"/>
    </xf>
    <xf numFmtId="3" fontId="92" fillId="0" borderId="117" xfId="0" applyNumberFormat="1" applyFont="1" applyBorder="1" applyAlignment="1">
      <alignment horizontal="center" vertical="center"/>
    </xf>
    <xf numFmtId="3" fontId="92" fillId="0" borderId="69" xfId="0" applyNumberFormat="1" applyFont="1" applyBorder="1" applyAlignment="1">
      <alignment horizontal="center" vertical="center"/>
    </xf>
    <xf numFmtId="2" fontId="92" fillId="0" borderId="69" xfId="0" applyNumberFormat="1" applyFont="1" applyBorder="1" applyAlignment="1">
      <alignment horizontal="center" vertical="center"/>
    </xf>
    <xf numFmtId="169" fontId="92" fillId="0" borderId="69" xfId="0" applyNumberFormat="1" applyFont="1" applyBorder="1" applyAlignment="1">
      <alignment horizontal="right" vertical="center"/>
    </xf>
    <xf numFmtId="169" fontId="92" fillId="0" borderId="69" xfId="33" applyNumberFormat="1" applyFont="1" applyBorder="1" applyAlignment="1">
      <alignment horizontal="right" vertical="center"/>
    </xf>
    <xf numFmtId="2" fontId="16" fillId="0" borderId="200" xfId="33" applyNumberFormat="1" applyFill="1" applyBorder="1" applyAlignment="1">
      <alignment horizontal="center" vertical="center" wrapText="1"/>
    </xf>
    <xf numFmtId="169" fontId="92" fillId="0" borderId="102" xfId="0" applyNumberFormat="1" applyFont="1" applyBorder="1" applyAlignment="1">
      <alignment horizontal="right" vertical="center"/>
    </xf>
    <xf numFmtId="0" fontId="92" fillId="0" borderId="0" xfId="0" applyFont="1" applyAlignment="1">
      <alignment horizontal="center" vertical="center"/>
    </xf>
    <xf numFmtId="0" fontId="93" fillId="0" borderId="201" xfId="0" applyFont="1" applyBorder="1" applyAlignment="1">
      <alignment horizontal="right" vertical="center"/>
    </xf>
    <xf numFmtId="3" fontId="94" fillId="0" borderId="202" xfId="0" applyNumberFormat="1" applyFont="1" applyBorder="1" applyAlignment="1">
      <alignment horizontal="center" vertical="center"/>
    </xf>
    <xf numFmtId="3" fontId="94" fillId="0" borderId="205" xfId="0" applyNumberFormat="1" applyFont="1" applyBorder="1" applyAlignment="1">
      <alignment horizontal="center" vertical="center"/>
    </xf>
    <xf numFmtId="2" fontId="94" fillId="0" borderId="205" xfId="0" applyNumberFormat="1" applyFont="1" applyBorder="1" applyAlignment="1">
      <alignment horizontal="center" vertical="center"/>
    </xf>
    <xf numFmtId="169" fontId="94" fillId="0" borderId="205" xfId="0" applyNumberFormat="1" applyFont="1" applyBorder="1" applyAlignment="1">
      <alignment horizontal="right" vertical="center"/>
    </xf>
    <xf numFmtId="169" fontId="94" fillId="0" borderId="205" xfId="33" applyNumberFormat="1" applyFont="1" applyBorder="1" applyAlignment="1">
      <alignment horizontal="right" vertical="center"/>
    </xf>
    <xf numFmtId="2" fontId="31" fillId="0" borderId="204" xfId="33" applyNumberFormat="1" applyFont="1" applyFill="1" applyBorder="1" applyAlignment="1">
      <alignment horizontal="center" vertical="center" wrapText="1"/>
    </xf>
    <xf numFmtId="169" fontId="94" fillId="0" borderId="104" xfId="0" applyNumberFormat="1" applyFont="1" applyBorder="1" applyAlignment="1">
      <alignment horizontal="right" vertical="center"/>
    </xf>
    <xf numFmtId="0" fontId="9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69" fontId="0" fillId="0" borderId="55" xfId="0" applyNumberFormat="1" applyBorder="1" applyAlignment="1">
      <alignment horizontal="right" vertical="center"/>
    </xf>
    <xf numFmtId="169" fontId="0" fillId="0" borderId="58" xfId="0" applyNumberFormat="1" applyBorder="1" applyAlignment="1">
      <alignment horizontal="right" vertical="center"/>
    </xf>
    <xf numFmtId="0" fontId="0" fillId="0" borderId="216" xfId="0" applyBorder="1" applyAlignment="1">
      <alignment horizontal="left" vertical="center"/>
    </xf>
    <xf numFmtId="7" fontId="31" fillId="0" borderId="217" xfId="33" applyNumberFormat="1" applyFont="1" applyBorder="1" applyAlignment="1">
      <alignment horizontal="center" vertical="center"/>
    </xf>
    <xf numFmtId="169" fontId="0" fillId="0" borderId="0" xfId="0" applyNumberFormat="1" applyBorder="1" applyAlignment="1">
      <alignment horizontal="right" vertical="center"/>
    </xf>
    <xf numFmtId="169" fontId="0" fillId="0" borderId="51" xfId="0" applyNumberFormat="1" applyBorder="1" applyAlignment="1">
      <alignment horizontal="right" vertical="center"/>
    </xf>
    <xf numFmtId="0" fontId="0" fillId="0" borderId="155" xfId="0" applyBorder="1" applyAlignment="1">
      <alignment horizontal="left" vertical="center"/>
    </xf>
    <xf numFmtId="3" fontId="31" fillId="0" borderId="102" xfId="0" applyNumberFormat="1" applyFont="1" applyBorder="1" applyAlignment="1">
      <alignment horizontal="center" vertical="center"/>
    </xf>
    <xf numFmtId="0" fontId="28" fillId="38" borderId="155" xfId="0" applyFont="1" applyFill="1" applyBorder="1" applyAlignment="1">
      <alignment horizontal="left" vertical="center"/>
    </xf>
    <xf numFmtId="7" fontId="28" fillId="38" borderId="102" xfId="33" applyNumberFormat="1" applyFont="1" applyFill="1" applyBorder="1" applyAlignment="1">
      <alignment horizontal="center" vertical="center"/>
    </xf>
    <xf numFmtId="7" fontId="16" fillId="0" borderId="102" xfId="33" applyNumberFormat="1" applyBorder="1" applyAlignment="1">
      <alignment horizontal="center" vertical="center"/>
    </xf>
    <xf numFmtId="3" fontId="0" fillId="0" borderId="102" xfId="0" applyNumberFormat="1" applyBorder="1" applyAlignment="1">
      <alignment horizontal="center" vertical="center"/>
    </xf>
    <xf numFmtId="0" fontId="0" fillId="0" borderId="218" xfId="0" applyBorder="1" applyAlignment="1">
      <alignment horizontal="left" vertical="center"/>
    </xf>
    <xf numFmtId="0" fontId="0" fillId="0" borderId="219" xfId="0" applyBorder="1" applyAlignment="1">
      <alignment horizontal="center" vertical="center"/>
    </xf>
    <xf numFmtId="0" fontId="0" fillId="0" borderId="220" xfId="0" applyBorder="1" applyAlignment="1">
      <alignment horizontal="left" vertical="center"/>
    </xf>
    <xf numFmtId="7" fontId="16" fillId="0" borderId="221" xfId="33" applyNumberForma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69" fontId="0" fillId="0" borderId="61" xfId="0" applyNumberFormat="1" applyBorder="1" applyAlignment="1">
      <alignment horizontal="right" vertical="center"/>
    </xf>
    <xf numFmtId="169" fontId="0" fillId="0" borderId="64" xfId="0" applyNumberForma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97" fillId="0" borderId="0" xfId="0" applyFont="1" applyAlignment="1">
      <alignment horizontal="center" vertical="center" wrapText="1"/>
    </xf>
    <xf numFmtId="0" fontId="97" fillId="0" borderId="48" xfId="0" applyFont="1" applyBorder="1" applyAlignment="1">
      <alignment horizontal="center" vertical="center" wrapText="1"/>
    </xf>
    <xf numFmtId="0" fontId="97" fillId="0" borderId="55" xfId="0" applyFont="1" applyBorder="1" applyAlignment="1">
      <alignment horizontal="center" vertical="center" wrapText="1"/>
    </xf>
    <xf numFmtId="0" fontId="97" fillId="0" borderId="58" xfId="0" applyFont="1" applyBorder="1" applyAlignment="1">
      <alignment horizontal="center" vertical="center" wrapText="1"/>
    </xf>
    <xf numFmtId="0" fontId="97" fillId="0" borderId="128" xfId="0" applyFont="1" applyBorder="1" applyAlignment="1">
      <alignment horizontal="center" vertical="center" wrapText="1"/>
    </xf>
    <xf numFmtId="0" fontId="97" fillId="0" borderId="0" xfId="0" applyFont="1" applyBorder="1" applyAlignment="1">
      <alignment horizontal="center" vertical="center" wrapText="1"/>
    </xf>
    <xf numFmtId="0" fontId="97" fillId="0" borderId="51" xfId="0" applyFont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0" fontId="37" fillId="18" borderId="17" xfId="0" applyNumberFormat="1" applyFont="1" applyFill="1" applyBorder="1" applyAlignment="1">
      <alignment horizontal="center" vertical="center" wrapText="1"/>
    </xf>
    <xf numFmtId="170" fontId="78" fillId="0" borderId="45" xfId="0" applyNumberFormat="1" applyFont="1" applyBorder="1" applyAlignment="1" applyProtection="1">
      <alignment horizontal="center" vertical="center"/>
      <protection locked="0"/>
    </xf>
    <xf numFmtId="170" fontId="78" fillId="0" borderId="26" xfId="0" applyNumberFormat="1" applyFont="1" applyBorder="1" applyAlignment="1" applyProtection="1">
      <alignment horizontal="center" vertical="center"/>
      <protection locked="0"/>
    </xf>
    <xf numFmtId="170" fontId="78" fillId="0" borderId="47" xfId="0" applyNumberFormat="1" applyFont="1" applyBorder="1" applyAlignment="1" applyProtection="1">
      <alignment horizontal="center" vertical="center"/>
      <protection locked="0"/>
    </xf>
    <xf numFmtId="2" fontId="22" fillId="0" borderId="0" xfId="0" applyNumberFormat="1" applyFont="1" applyAlignment="1">
      <alignment horizontal="center" vertical="center"/>
    </xf>
    <xf numFmtId="169" fontId="16" fillId="0" borderId="58" xfId="0" applyNumberFormat="1" applyFont="1" applyBorder="1" applyAlignment="1" applyProtection="1">
      <alignment horizontal="right" vertical="center"/>
    </xf>
    <xf numFmtId="169" fontId="16" fillId="0" borderId="60" xfId="0" applyNumberFormat="1" applyFont="1" applyBorder="1" applyAlignment="1" applyProtection="1">
      <alignment horizontal="right" vertical="center"/>
    </xf>
    <xf numFmtId="169" fontId="16" fillId="0" borderId="64" xfId="0" applyNumberFormat="1" applyFont="1" applyBorder="1" applyAlignment="1" applyProtection="1">
      <alignment horizontal="right" vertical="center"/>
    </xf>
    <xf numFmtId="0" fontId="79" fillId="0" borderId="55" xfId="37" applyFont="1" applyBorder="1" applyAlignment="1" applyProtection="1">
      <alignment vertical="center"/>
      <protection locked="0"/>
    </xf>
    <xf numFmtId="0" fontId="79" fillId="0" borderId="9" xfId="37" applyFont="1" applyBorder="1" applyAlignment="1" applyProtection="1">
      <alignment vertical="center"/>
      <protection locked="0"/>
    </xf>
    <xf numFmtId="0" fontId="79" fillId="0" borderId="61" xfId="37" applyFont="1" applyBorder="1" applyAlignment="1" applyProtection="1">
      <alignment vertical="center"/>
      <protection locked="0"/>
    </xf>
    <xf numFmtId="49" fontId="22" fillId="0" borderId="0" xfId="0" applyNumberFormat="1" applyFont="1" applyAlignment="1">
      <alignment horizontal="center" vertical="center" wrapText="1"/>
    </xf>
    <xf numFmtId="170" fontId="22" fillId="0" borderId="0" xfId="0" applyNumberFormat="1" applyFont="1" applyAlignment="1">
      <alignment horizontal="center" vertical="center" wrapText="1"/>
    </xf>
    <xf numFmtId="170" fontId="37" fillId="18" borderId="223" xfId="0" applyNumberFormat="1" applyFont="1" applyFill="1" applyBorder="1" applyAlignment="1">
      <alignment horizontal="center" vertical="center" wrapText="1"/>
    </xf>
    <xf numFmtId="170" fontId="78" fillId="0" borderId="57" xfId="0" applyNumberFormat="1" applyFont="1" applyBorder="1" applyAlignment="1" applyProtection="1">
      <alignment horizontal="center" vertical="center"/>
      <protection locked="0"/>
    </xf>
    <xf numFmtId="170" fontId="78" fillId="0" borderId="43" xfId="0" applyNumberFormat="1" applyFont="1" applyBorder="1" applyAlignment="1" applyProtection="1">
      <alignment horizontal="center" vertical="center"/>
      <protection locked="0"/>
    </xf>
    <xf numFmtId="170" fontId="78" fillId="0" borderId="63" xfId="0" applyNumberFormat="1" applyFont="1" applyBorder="1" applyAlignment="1" applyProtection="1">
      <alignment horizontal="center" vertical="center"/>
      <protection locked="0"/>
    </xf>
    <xf numFmtId="0" fontId="78" fillId="0" borderId="224" xfId="0" applyFont="1" applyBorder="1" applyAlignment="1" applyProtection="1">
      <alignment horizontal="center" vertical="center"/>
      <protection locked="0"/>
    </xf>
    <xf numFmtId="169" fontId="78" fillId="0" borderId="44" xfId="0" applyNumberFormat="1" applyFont="1" applyBorder="1" applyAlignment="1" applyProtection="1">
      <alignment horizontal="center" vertical="center"/>
      <protection locked="0"/>
    </xf>
    <xf numFmtId="0" fontId="78" fillId="0" borderId="28" xfId="0" applyFont="1" applyBorder="1" applyAlignment="1" applyProtection="1">
      <alignment horizontal="center" vertical="center"/>
      <protection locked="0"/>
    </xf>
    <xf numFmtId="169" fontId="78" fillId="0" borderId="29" xfId="0" applyNumberFormat="1" applyFont="1" applyBorder="1" applyAlignment="1" applyProtection="1">
      <alignment horizontal="center" vertical="center"/>
      <protection locked="0"/>
    </xf>
    <xf numFmtId="0" fontId="78" fillId="0" borderId="225" xfId="0" applyFont="1" applyBorder="1" applyAlignment="1" applyProtection="1">
      <alignment horizontal="center" vertical="center"/>
      <protection locked="0"/>
    </xf>
    <xf numFmtId="169" fontId="78" fillId="0" borderId="46" xfId="0" applyNumberFormat="1" applyFont="1" applyBorder="1" applyAlignment="1" applyProtection="1">
      <alignment horizontal="center" vertical="center"/>
      <protection locked="0"/>
    </xf>
    <xf numFmtId="2" fontId="78" fillId="0" borderId="224" xfId="0" applyNumberFormat="1" applyFont="1" applyBorder="1" applyAlignment="1" applyProtection="1">
      <alignment horizontal="center" vertical="center"/>
      <protection locked="0"/>
    </xf>
    <xf numFmtId="2" fontId="78" fillId="0" borderId="28" xfId="0" applyNumberFormat="1" applyFont="1" applyBorder="1" applyAlignment="1" applyProtection="1">
      <alignment horizontal="center" vertical="center"/>
      <protection locked="0"/>
    </xf>
    <xf numFmtId="2" fontId="78" fillId="0" borderId="225" xfId="0" applyNumberFormat="1" applyFont="1" applyBorder="1" applyAlignment="1" applyProtection="1">
      <alignment horizontal="center" vertical="center"/>
      <protection locked="0"/>
    </xf>
    <xf numFmtId="170" fontId="23" fillId="18" borderId="20" xfId="0" applyNumberFormat="1" applyFont="1" applyFill="1" applyBorder="1" applyAlignment="1">
      <alignment horizontal="center" vertical="center" wrapText="1"/>
    </xf>
    <xf numFmtId="170" fontId="78" fillId="0" borderId="44" xfId="0" applyNumberFormat="1" applyFont="1" applyBorder="1" applyAlignment="1" applyProtection="1">
      <alignment horizontal="center" vertical="center" wrapText="1"/>
      <protection locked="0"/>
    </xf>
    <xf numFmtId="170" fontId="78" fillId="0" borderId="29" xfId="0" applyNumberFormat="1" applyFont="1" applyBorder="1" applyAlignment="1" applyProtection="1">
      <alignment horizontal="center" vertical="center" wrapText="1"/>
      <protection locked="0"/>
    </xf>
    <xf numFmtId="170" fontId="78" fillId="0" borderId="46" xfId="0" applyNumberFormat="1" applyFont="1" applyBorder="1" applyAlignment="1" applyProtection="1">
      <alignment horizontal="center" vertical="center" wrapText="1"/>
      <protection locked="0"/>
    </xf>
    <xf numFmtId="170" fontId="23" fillId="18" borderId="19" xfId="0" applyNumberFormat="1" applyFont="1" applyFill="1" applyBorder="1" applyAlignment="1">
      <alignment horizontal="center" vertical="center" wrapText="1"/>
    </xf>
    <xf numFmtId="49" fontId="23" fillId="18" borderId="20" xfId="0" applyNumberFormat="1" applyFont="1" applyFill="1" applyBorder="1" applyAlignment="1">
      <alignment horizontal="center" vertical="center" wrapText="1"/>
    </xf>
    <xf numFmtId="170" fontId="78" fillId="0" borderId="224" xfId="0" applyNumberFormat="1" applyFont="1" applyBorder="1" applyAlignment="1" applyProtection="1">
      <alignment horizontal="center" vertical="center"/>
      <protection locked="0"/>
    </xf>
    <xf numFmtId="49" fontId="78" fillId="0" borderId="44" xfId="0" applyNumberFormat="1" applyFont="1" applyBorder="1" applyAlignment="1" applyProtection="1">
      <alignment horizontal="center" vertical="center" wrapText="1"/>
      <protection locked="0"/>
    </xf>
    <xf numFmtId="170" fontId="78" fillId="0" borderId="28" xfId="0" applyNumberFormat="1" applyFont="1" applyBorder="1" applyAlignment="1" applyProtection="1">
      <alignment horizontal="center" vertical="center"/>
      <protection locked="0"/>
    </xf>
    <xf numFmtId="49" fontId="78" fillId="0" borderId="29" xfId="0" applyNumberFormat="1" applyFont="1" applyBorder="1" applyAlignment="1" applyProtection="1">
      <alignment horizontal="center" vertical="center" wrapText="1"/>
      <protection locked="0"/>
    </xf>
    <xf numFmtId="170" fontId="78" fillId="0" borderId="225" xfId="0" applyNumberFormat="1" applyFont="1" applyBorder="1" applyAlignment="1" applyProtection="1">
      <alignment horizontal="center" vertical="center"/>
      <protection locked="0"/>
    </xf>
    <xf numFmtId="49" fontId="78" fillId="0" borderId="46" xfId="0" applyNumberFormat="1" applyFont="1" applyBorder="1" applyAlignment="1" applyProtection="1">
      <alignment horizontal="center" vertical="center" wrapText="1"/>
      <protection locked="0"/>
    </xf>
    <xf numFmtId="170" fontId="37" fillId="18" borderId="17" xfId="0" applyNumberFormat="1" applyFont="1" applyFill="1" applyBorder="1" applyAlignment="1">
      <alignment horizontal="center" vertical="center" textRotation="90" wrapText="1"/>
    </xf>
    <xf numFmtId="0" fontId="99" fillId="18" borderId="10" xfId="0" applyFont="1" applyFill="1" applyBorder="1" applyAlignment="1">
      <alignment horizontal="center" vertical="center" wrapText="1"/>
    </xf>
    <xf numFmtId="2" fontId="99" fillId="18" borderId="19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vertical="center" wrapText="1"/>
    </xf>
    <xf numFmtId="0" fontId="58" fillId="0" borderId="89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175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8" fillId="0" borderId="65" xfId="0" applyFont="1" applyBorder="1" applyAlignment="1">
      <alignment horizontal="center" vertical="center" wrapText="1"/>
    </xf>
    <xf numFmtId="0" fontId="58" fillId="0" borderId="65" xfId="0" applyFont="1" applyBorder="1" applyAlignment="1">
      <alignment horizontal="center" vertical="center" wrapText="1"/>
    </xf>
    <xf numFmtId="0" fontId="90" fillId="0" borderId="65" xfId="0" applyFont="1" applyBorder="1" applyAlignment="1">
      <alignment horizontal="center" vertical="center" wrapText="1"/>
    </xf>
    <xf numFmtId="0" fontId="61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175" fontId="0" fillId="0" borderId="65" xfId="0" applyNumberFormat="1" applyBorder="1" applyAlignment="1">
      <alignment vertical="center"/>
    </xf>
    <xf numFmtId="0" fontId="0" fillId="0" borderId="226" xfId="0" applyFont="1" applyBorder="1" applyAlignment="1">
      <alignment vertical="center"/>
    </xf>
    <xf numFmtId="0" fontId="0" fillId="0" borderId="85" xfId="0" applyFont="1" applyBorder="1" applyAlignment="1">
      <alignment vertical="center"/>
    </xf>
    <xf numFmtId="175" fontId="0" fillId="0" borderId="121" xfId="0" applyNumberFormat="1" applyBorder="1" applyAlignment="1">
      <alignment horizontal="center" vertical="center"/>
    </xf>
    <xf numFmtId="0" fontId="0" fillId="0" borderId="121" xfId="0" applyBorder="1" applyAlignment="1">
      <alignment vertical="center"/>
    </xf>
    <xf numFmtId="175" fontId="0" fillId="0" borderId="87" xfId="0" applyNumberFormat="1" applyBorder="1" applyAlignment="1">
      <alignment horizontal="center" vertical="center"/>
    </xf>
    <xf numFmtId="0" fontId="0" fillId="0" borderId="87" xfId="0" applyBorder="1" applyAlignment="1">
      <alignment vertical="center"/>
    </xf>
    <xf numFmtId="175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175" fontId="0" fillId="0" borderId="0" xfId="0" applyNumberFormat="1" applyBorder="1" applyAlignment="1">
      <alignment vertical="center"/>
    </xf>
    <xf numFmtId="9" fontId="0" fillId="0" borderId="227" xfId="0" applyNumberFormat="1" applyBorder="1" applyAlignment="1">
      <alignment vertical="center"/>
    </xf>
    <xf numFmtId="175" fontId="0" fillId="0" borderId="82" xfId="0" applyNumberFormat="1" applyBorder="1" applyAlignment="1">
      <alignment vertical="center"/>
    </xf>
    <xf numFmtId="0" fontId="100" fillId="0" borderId="0" xfId="0" applyFont="1" applyAlignment="1">
      <alignment horizontal="center" vertical="center"/>
    </xf>
    <xf numFmtId="0" fontId="100" fillId="0" borderId="65" xfId="0" applyFont="1" applyBorder="1" applyAlignment="1">
      <alignment horizontal="center" vertical="center" wrapText="1"/>
    </xf>
    <xf numFmtId="0" fontId="101" fillId="0" borderId="65" xfId="0" applyFont="1" applyBorder="1" applyAlignment="1">
      <alignment horizontal="center" vertical="center" wrapText="1"/>
    </xf>
    <xf numFmtId="0" fontId="100" fillId="0" borderId="0" xfId="0" applyFont="1" applyAlignment="1">
      <alignment vertical="center"/>
    </xf>
    <xf numFmtId="0" fontId="100" fillId="0" borderId="226" xfId="0" applyFont="1" applyBorder="1" applyAlignment="1">
      <alignment vertical="center"/>
    </xf>
    <xf numFmtId="175" fontId="100" fillId="0" borderId="228" xfId="0" applyNumberFormat="1" applyFont="1" applyBorder="1" applyAlignment="1">
      <alignment vertical="center"/>
    </xf>
    <xf numFmtId="0" fontId="100" fillId="0" borderId="0" xfId="0" applyFont="1" applyBorder="1" applyAlignment="1">
      <alignment vertical="center"/>
    </xf>
    <xf numFmtId="175" fontId="100" fillId="0" borderId="65" xfId="0" applyNumberFormat="1" applyFont="1" applyBorder="1" applyAlignment="1">
      <alignment vertical="center"/>
    </xf>
    <xf numFmtId="9" fontId="100" fillId="0" borderId="227" xfId="0" applyNumberFormat="1" applyFont="1" applyBorder="1" applyAlignment="1">
      <alignment vertical="center"/>
    </xf>
    <xf numFmtId="175" fontId="100" fillId="0" borderId="227" xfId="0" applyNumberFormat="1" applyFont="1" applyBorder="1" applyAlignment="1">
      <alignment vertical="center"/>
    </xf>
    <xf numFmtId="0" fontId="75" fillId="0" borderId="89" xfId="0" applyFont="1" applyBorder="1" applyAlignment="1">
      <alignment horizontal="center" vertical="center" wrapText="1"/>
    </xf>
    <xf numFmtId="0" fontId="75" fillId="0" borderId="65" xfId="0" applyFont="1" applyBorder="1" applyAlignment="1">
      <alignment horizontal="center" vertical="center" wrapText="1"/>
    </xf>
    <xf numFmtId="0" fontId="54" fillId="0" borderId="65" xfId="0" applyFont="1" applyBorder="1" applyAlignment="1">
      <alignment horizontal="center" vertical="center"/>
    </xf>
    <xf numFmtId="175" fontId="0" fillId="0" borderId="65" xfId="0" applyNumberFormat="1" applyFont="1" applyBorder="1" applyAlignment="1">
      <alignment horizontal="center" vertical="center"/>
    </xf>
    <xf numFmtId="175" fontId="16" fillId="0" borderId="0" xfId="0" applyNumberFormat="1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175" fontId="0" fillId="0" borderId="65" xfId="0" applyNumberFormat="1" applyFont="1" applyBorder="1" applyAlignment="1">
      <alignment vertical="center"/>
    </xf>
    <xf numFmtId="175" fontId="0" fillId="0" borderId="186" xfId="0" applyNumberFormat="1" applyFont="1" applyBorder="1" applyAlignment="1">
      <alignment horizontal="center" vertical="center"/>
    </xf>
    <xf numFmtId="174" fontId="0" fillId="0" borderId="0" xfId="0" applyNumberFormat="1" applyFont="1" applyAlignment="1">
      <alignment horizontal="center" vertical="center"/>
    </xf>
    <xf numFmtId="174" fontId="63" fillId="0" borderId="89" xfId="0" applyNumberFormat="1" applyFont="1" applyBorder="1" applyAlignment="1">
      <alignment horizontal="center" vertical="center" wrapText="1"/>
    </xf>
    <xf numFmtId="174" fontId="0" fillId="0" borderId="65" xfId="0" applyNumberFormat="1" applyFont="1" applyBorder="1" applyAlignment="1">
      <alignment horizontal="center" vertical="center" wrapText="1"/>
    </xf>
    <xf numFmtId="174" fontId="78" fillId="0" borderId="65" xfId="0" applyNumberFormat="1" applyFont="1" applyBorder="1" applyAlignment="1">
      <alignment horizontal="center" vertical="center" wrapText="1"/>
    </xf>
    <xf numFmtId="174" fontId="63" fillId="0" borderId="65" xfId="0" applyNumberFormat="1" applyFont="1" applyBorder="1" applyAlignment="1">
      <alignment horizontal="center" vertical="center" wrapText="1"/>
    </xf>
    <xf numFmtId="169" fontId="58" fillId="0" borderId="89" xfId="32" applyNumberFormat="1" applyFont="1" applyFill="1" applyBorder="1" applyAlignment="1" applyProtection="1">
      <alignment vertical="center" wrapText="1"/>
    </xf>
    <xf numFmtId="169" fontId="76" fillId="0" borderId="65" xfId="32" applyNumberFormat="1" applyFont="1" applyFill="1" applyBorder="1" applyAlignment="1" applyProtection="1">
      <alignment vertical="center" wrapText="1"/>
    </xf>
    <xf numFmtId="169" fontId="78" fillId="0" borderId="65" xfId="32" applyNumberFormat="1" applyFont="1" applyFill="1" applyBorder="1" applyAlignment="1" applyProtection="1">
      <alignment vertical="center" wrapText="1"/>
    </xf>
    <xf numFmtId="169" fontId="58" fillId="0" borderId="65" xfId="32" applyNumberFormat="1" applyFont="1" applyFill="1" applyBorder="1" applyAlignment="1" applyProtection="1">
      <alignment vertical="center" wrapText="1"/>
    </xf>
    <xf numFmtId="169" fontId="90" fillId="0" borderId="65" xfId="32" applyNumberFormat="1" applyFont="1" applyFill="1" applyBorder="1" applyAlignment="1" applyProtection="1">
      <alignment vertical="center" wrapText="1"/>
    </xf>
    <xf numFmtId="169" fontId="0" fillId="0" borderId="0" xfId="0" applyNumberFormat="1" applyFont="1" applyAlignment="1">
      <alignment vertical="center"/>
    </xf>
    <xf numFmtId="169" fontId="58" fillId="0" borderId="89" xfId="32" applyNumberFormat="1" applyFont="1" applyFill="1" applyBorder="1" applyAlignment="1" applyProtection="1">
      <alignment horizontal="right" vertical="center" wrapText="1"/>
    </xf>
    <xf numFmtId="169" fontId="76" fillId="0" borderId="65" xfId="32" applyNumberFormat="1" applyFont="1" applyFill="1" applyBorder="1" applyAlignment="1" applyProtection="1">
      <alignment horizontal="right" vertical="center" wrapText="1"/>
    </xf>
    <xf numFmtId="169" fontId="78" fillId="0" borderId="65" xfId="32" applyNumberFormat="1" applyFont="1" applyFill="1" applyBorder="1" applyAlignment="1" applyProtection="1">
      <alignment horizontal="right" vertical="center" wrapText="1"/>
    </xf>
    <xf numFmtId="169" fontId="58" fillId="0" borderId="65" xfId="32" applyNumberFormat="1" applyFont="1" applyFill="1" applyBorder="1" applyAlignment="1" applyProtection="1">
      <alignment horizontal="right" vertical="center" wrapText="1"/>
    </xf>
    <xf numFmtId="169" fontId="90" fillId="0" borderId="65" xfId="32" applyNumberFormat="1" applyFont="1" applyFill="1" applyBorder="1" applyAlignment="1" applyProtection="1">
      <alignment horizontal="right" vertical="center" wrapText="1"/>
    </xf>
    <xf numFmtId="169" fontId="0" fillId="0" borderId="0" xfId="0" applyNumberFormat="1" applyFont="1" applyAlignment="1">
      <alignment horizontal="right" vertical="center"/>
    </xf>
    <xf numFmtId="7" fontId="58" fillId="0" borderId="87" xfId="32" applyNumberFormat="1" applyFont="1" applyFill="1" applyBorder="1" applyAlignment="1" applyProtection="1">
      <alignment vertical="center" wrapText="1"/>
    </xf>
    <xf numFmtId="7" fontId="76" fillId="0" borderId="82" xfId="32" applyNumberFormat="1" applyFont="1" applyFill="1" applyBorder="1" applyAlignment="1" applyProtection="1">
      <alignment vertical="center" wrapText="1"/>
    </xf>
    <xf numFmtId="7" fontId="78" fillId="0" borderId="82" xfId="32" applyNumberFormat="1" applyFont="1" applyFill="1" applyBorder="1" applyAlignment="1" applyProtection="1">
      <alignment vertical="center" wrapText="1"/>
    </xf>
    <xf numFmtId="7" fontId="58" fillId="0" borderId="82" xfId="32" applyNumberFormat="1" applyFont="1" applyFill="1" applyBorder="1" applyAlignment="1" applyProtection="1">
      <alignment vertical="center" wrapText="1"/>
    </xf>
    <xf numFmtId="7" fontId="90" fillId="0" borderId="82" xfId="32" applyNumberFormat="1" applyFont="1" applyFill="1" applyBorder="1" applyAlignment="1" applyProtection="1">
      <alignment vertical="center" wrapText="1"/>
    </xf>
    <xf numFmtId="169" fontId="58" fillId="0" borderId="89" xfId="0" applyNumberFormat="1" applyFont="1" applyBorder="1" applyAlignment="1">
      <alignment vertical="center"/>
    </xf>
    <xf numFmtId="169" fontId="0" fillId="0" borderId="65" xfId="0" applyNumberFormat="1" applyFont="1" applyBorder="1" applyAlignment="1">
      <alignment vertical="center"/>
    </xf>
    <xf numFmtId="169" fontId="78" fillId="0" borderId="65" xfId="0" applyNumberFormat="1" applyFont="1" applyBorder="1" applyAlignment="1">
      <alignment vertical="center"/>
    </xf>
    <xf numFmtId="169" fontId="58" fillId="0" borderId="65" xfId="0" applyNumberFormat="1" applyFont="1" applyBorder="1" applyAlignment="1">
      <alignment vertical="center"/>
    </xf>
    <xf numFmtId="175" fontId="58" fillId="0" borderId="89" xfId="32" applyNumberFormat="1" applyFont="1" applyFill="1" applyBorder="1" applyAlignment="1" applyProtection="1">
      <alignment horizontal="center" vertical="center" wrapText="1"/>
    </xf>
    <xf numFmtId="175" fontId="76" fillId="0" borderId="65" xfId="32" applyNumberFormat="1" applyFont="1" applyFill="1" applyBorder="1" applyAlignment="1" applyProtection="1">
      <alignment horizontal="center" vertical="center" wrapText="1"/>
    </xf>
    <xf numFmtId="175" fontId="58" fillId="0" borderId="65" xfId="32" applyNumberFormat="1" applyFont="1" applyFill="1" applyBorder="1" applyAlignment="1" applyProtection="1">
      <alignment horizontal="center" vertical="center" wrapText="1"/>
    </xf>
    <xf numFmtId="175" fontId="90" fillId="0" borderId="65" xfId="32" applyNumberFormat="1" applyFont="1" applyFill="1" applyBorder="1" applyAlignment="1" applyProtection="1">
      <alignment horizontal="center" vertical="center" wrapText="1"/>
    </xf>
    <xf numFmtId="2" fontId="58" fillId="0" borderId="89" xfId="32" applyNumberFormat="1" applyFont="1" applyFill="1" applyBorder="1" applyAlignment="1" applyProtection="1">
      <alignment horizontal="center" vertical="center" wrapText="1"/>
    </xf>
    <xf numFmtId="2" fontId="76" fillId="0" borderId="65" xfId="32" applyNumberFormat="1" applyFont="1" applyFill="1" applyBorder="1" applyAlignment="1" applyProtection="1">
      <alignment horizontal="center" vertical="center" wrapText="1"/>
    </xf>
    <xf numFmtId="2" fontId="58" fillId="0" borderId="65" xfId="32" applyNumberFormat="1" applyFont="1" applyFill="1" applyBorder="1" applyAlignment="1" applyProtection="1">
      <alignment horizontal="center" vertical="center" wrapText="1"/>
    </xf>
    <xf numFmtId="2" fontId="78" fillId="0" borderId="65" xfId="32" applyNumberFormat="1" applyFont="1" applyFill="1" applyBorder="1" applyAlignment="1" applyProtection="1">
      <alignment horizontal="center" vertical="center" wrapText="1"/>
    </xf>
    <xf numFmtId="2" fontId="90" fillId="0" borderId="65" xfId="32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7" fontId="76" fillId="0" borderId="65" xfId="32" applyNumberFormat="1" applyFont="1" applyFill="1" applyBorder="1" applyAlignment="1" applyProtection="1">
      <alignment horizontal="right" vertical="center" wrapText="1"/>
    </xf>
    <xf numFmtId="7" fontId="58" fillId="0" borderId="65" xfId="32" applyNumberFormat="1" applyFont="1" applyFill="1" applyBorder="1" applyAlignment="1" applyProtection="1">
      <alignment horizontal="right" vertical="center" wrapText="1"/>
    </xf>
    <xf numFmtId="7" fontId="78" fillId="0" borderId="65" xfId="32" applyNumberFormat="1" applyFont="1" applyFill="1" applyBorder="1" applyAlignment="1" applyProtection="1">
      <alignment horizontal="right" vertical="center" wrapText="1"/>
    </xf>
    <xf numFmtId="7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right" vertical="center"/>
    </xf>
    <xf numFmtId="169" fontId="0" fillId="0" borderId="65" xfId="0" applyNumberFormat="1" applyBorder="1" applyAlignment="1">
      <alignment vertical="center"/>
    </xf>
    <xf numFmtId="169" fontId="0" fillId="0" borderId="65" xfId="0" applyNumberFormat="1" applyFont="1" applyBorder="1" applyAlignment="1">
      <alignment horizontal="center" vertical="center"/>
    </xf>
    <xf numFmtId="169" fontId="28" fillId="0" borderId="65" xfId="0" applyNumberFormat="1" applyFont="1" applyBorder="1" applyAlignment="1">
      <alignment vertical="center"/>
    </xf>
    <xf numFmtId="169" fontId="16" fillId="0" borderId="65" xfId="0" applyNumberFormat="1" applyFont="1" applyBorder="1" applyAlignment="1">
      <alignment horizontal="center" vertical="center"/>
    </xf>
    <xf numFmtId="169" fontId="100" fillId="0" borderId="0" xfId="0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69" fontId="0" fillId="0" borderId="0" xfId="0" applyNumberFormat="1" applyFont="1" applyAlignment="1">
      <alignment horizontal="center" vertical="center"/>
    </xf>
    <xf numFmtId="169" fontId="0" fillId="0" borderId="0" xfId="0" applyNumberFormat="1" applyFont="1" applyBorder="1" applyAlignment="1">
      <alignment vertical="center"/>
    </xf>
    <xf numFmtId="0" fontId="28" fillId="0" borderId="229" xfId="0" applyFont="1" applyBorder="1" applyAlignment="1">
      <alignment vertical="center"/>
    </xf>
    <xf numFmtId="169" fontId="54" fillId="0" borderId="230" xfId="0" applyNumberFormat="1" applyFont="1" applyBorder="1" applyAlignment="1">
      <alignment vertical="center"/>
    </xf>
    <xf numFmtId="169" fontId="28" fillId="0" borderId="230" xfId="0" applyNumberFormat="1" applyFont="1" applyBorder="1" applyAlignment="1">
      <alignment vertical="center"/>
    </xf>
    <xf numFmtId="169" fontId="28" fillId="0" borderId="231" xfId="0" applyNumberFormat="1" applyFont="1" applyBorder="1" applyAlignment="1">
      <alignment vertical="center"/>
    </xf>
    <xf numFmtId="169" fontId="28" fillId="0" borderId="232" xfId="0" applyNumberFormat="1" applyFont="1" applyBorder="1" applyAlignment="1">
      <alignment vertical="center"/>
    </xf>
    <xf numFmtId="0" fontId="0" fillId="0" borderId="233" xfId="0" applyFont="1" applyBorder="1" applyAlignment="1">
      <alignment vertical="center"/>
    </xf>
    <xf numFmtId="169" fontId="0" fillId="0" borderId="167" xfId="0" applyNumberFormat="1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28" fillId="0" borderId="234" xfId="0" applyFont="1" applyBorder="1" applyAlignment="1">
      <alignment vertical="center"/>
    </xf>
    <xf numFmtId="0" fontId="100" fillId="0" borderId="235" xfId="0" applyFont="1" applyBorder="1" applyAlignment="1">
      <alignment vertical="center"/>
    </xf>
    <xf numFmtId="0" fontId="0" fillId="0" borderId="236" xfId="0" applyFont="1" applyFill="1" applyBorder="1" applyAlignment="1">
      <alignment vertical="center"/>
    </xf>
    <xf numFmtId="0" fontId="0" fillId="0" borderId="236" xfId="0" applyFont="1" applyFill="1" applyBorder="1" applyAlignment="1">
      <alignment horizontal="center" vertical="center"/>
    </xf>
    <xf numFmtId="0" fontId="0" fillId="0" borderId="237" xfId="0" applyFont="1" applyFill="1" applyBorder="1" applyAlignment="1">
      <alignment horizontal="center" vertical="center"/>
    </xf>
    <xf numFmtId="0" fontId="0" fillId="0" borderId="237" xfId="0" applyFont="1" applyBorder="1" applyAlignment="1">
      <alignment vertical="center"/>
    </xf>
    <xf numFmtId="0" fontId="0" fillId="0" borderId="238" xfId="0" applyFont="1" applyBorder="1" applyAlignment="1">
      <alignment vertical="center"/>
    </xf>
    <xf numFmtId="0" fontId="0" fillId="0" borderId="233" xfId="0" applyBorder="1" applyAlignment="1">
      <alignment vertical="center"/>
    </xf>
    <xf numFmtId="0" fontId="0" fillId="0" borderId="167" xfId="0" applyBorder="1" applyAlignment="1">
      <alignment horizontal="center" vertical="center"/>
    </xf>
    <xf numFmtId="175" fontId="0" fillId="0" borderId="167" xfId="0" applyNumberFormat="1" applyBorder="1" applyAlignment="1">
      <alignment vertical="center"/>
    </xf>
    <xf numFmtId="0" fontId="0" fillId="0" borderId="239" xfId="0" applyBorder="1" applyAlignment="1">
      <alignment vertical="center"/>
    </xf>
    <xf numFmtId="0" fontId="0" fillId="0" borderId="167" xfId="0" applyBorder="1" applyAlignment="1">
      <alignment vertical="center"/>
    </xf>
    <xf numFmtId="0" fontId="28" fillId="0" borderId="73" xfId="0" applyFont="1" applyBorder="1" applyAlignment="1">
      <alignment vertical="center"/>
    </xf>
    <xf numFmtId="0" fontId="0" fillId="0" borderId="240" xfId="0" applyBorder="1" applyAlignment="1">
      <alignment vertical="center"/>
    </xf>
    <xf numFmtId="0" fontId="28" fillId="0" borderId="241" xfId="0" applyFont="1" applyBorder="1" applyAlignment="1">
      <alignment vertical="center"/>
    </xf>
    <xf numFmtId="0" fontId="54" fillId="0" borderId="242" xfId="0" applyFont="1" applyBorder="1" applyAlignment="1">
      <alignment vertical="center"/>
    </xf>
    <xf numFmtId="0" fontId="28" fillId="0" borderId="242" xfId="0" applyFont="1" applyBorder="1" applyAlignment="1">
      <alignment vertical="center"/>
    </xf>
    <xf numFmtId="175" fontId="16" fillId="0" borderId="242" xfId="0" applyNumberFormat="1" applyFont="1" applyBorder="1" applyAlignment="1">
      <alignment horizontal="center" vertical="center"/>
    </xf>
    <xf numFmtId="0" fontId="28" fillId="0" borderId="243" xfId="0" applyFont="1" applyBorder="1" applyAlignment="1">
      <alignment vertical="center"/>
    </xf>
    <xf numFmtId="175" fontId="28" fillId="0" borderId="244" xfId="0" applyNumberFormat="1" applyFont="1" applyBorder="1" applyAlignment="1">
      <alignment vertical="center"/>
    </xf>
    <xf numFmtId="0" fontId="28" fillId="0" borderId="154" xfId="0" applyFont="1" applyBorder="1" applyAlignment="1">
      <alignment vertical="center"/>
    </xf>
    <xf numFmtId="0" fontId="100" fillId="0" borderId="197" xfId="0" applyFont="1" applyBorder="1" applyAlignment="1">
      <alignment vertical="center"/>
    </xf>
    <xf numFmtId="0" fontId="0" fillId="0" borderId="197" xfId="0" applyFont="1" applyFill="1" applyBorder="1" applyAlignment="1">
      <alignment vertical="center"/>
    </xf>
    <xf numFmtId="0" fontId="0" fillId="0" borderId="197" xfId="0" applyFont="1" applyFill="1" applyBorder="1" applyAlignment="1">
      <alignment horizontal="center" vertical="center"/>
    </xf>
    <xf numFmtId="0" fontId="0" fillId="0" borderId="197" xfId="0" applyFont="1" applyBorder="1" applyAlignment="1">
      <alignment vertical="center"/>
    </xf>
    <xf numFmtId="0" fontId="0" fillId="0" borderId="103" xfId="0" applyFont="1" applyBorder="1" applyAlignment="1">
      <alignment vertical="center"/>
    </xf>
    <xf numFmtId="0" fontId="28" fillId="0" borderId="156" xfId="0" applyFont="1" applyBorder="1" applyAlignment="1">
      <alignment vertical="center"/>
    </xf>
    <xf numFmtId="175" fontId="100" fillId="0" borderId="205" xfId="0" applyNumberFormat="1" applyFont="1" applyBorder="1" applyAlignment="1">
      <alignment vertical="center"/>
    </xf>
    <xf numFmtId="175" fontId="0" fillId="0" borderId="205" xfId="0" applyNumberFormat="1" applyBorder="1" applyAlignment="1">
      <alignment vertical="center"/>
    </xf>
    <xf numFmtId="175" fontId="0" fillId="0" borderId="205" xfId="0" applyNumberFormat="1" applyFont="1" applyBorder="1" applyAlignment="1">
      <alignment horizontal="center" vertical="center"/>
    </xf>
    <xf numFmtId="175" fontId="0" fillId="0" borderId="205" xfId="0" applyNumberFormat="1" applyBorder="1" applyAlignment="1">
      <alignment horizontal="center" vertical="center"/>
    </xf>
    <xf numFmtId="0" fontId="0" fillId="0" borderId="205" xfId="0" applyBorder="1" applyAlignment="1">
      <alignment vertical="center"/>
    </xf>
    <xf numFmtId="0" fontId="0" fillId="0" borderId="104" xfId="0" applyBorder="1" applyAlignment="1">
      <alignment horizontal="center" vertical="center"/>
    </xf>
    <xf numFmtId="169" fontId="58" fillId="0" borderId="245" xfId="0" applyNumberFormat="1" applyFont="1" applyBorder="1" applyAlignment="1">
      <alignment vertical="center"/>
    </xf>
    <xf numFmtId="169" fontId="0" fillId="0" borderId="240" xfId="0" applyNumberFormat="1" applyFont="1" applyBorder="1" applyAlignment="1">
      <alignment vertical="center"/>
    </xf>
    <xf numFmtId="169" fontId="78" fillId="0" borderId="240" xfId="0" applyNumberFormat="1" applyFont="1" applyBorder="1" applyAlignment="1">
      <alignment vertical="center"/>
    </xf>
    <xf numFmtId="169" fontId="58" fillId="0" borderId="240" xfId="0" applyNumberFormat="1" applyFont="1" applyBorder="1" applyAlignment="1">
      <alignment vertical="center"/>
    </xf>
    <xf numFmtId="0" fontId="100" fillId="0" borderId="246" xfId="0" applyFont="1" applyBorder="1" applyAlignment="1">
      <alignment horizontal="center" vertical="center" wrapText="1"/>
    </xf>
    <xf numFmtId="174" fontId="0" fillId="0" borderId="246" xfId="0" applyNumberFormat="1" applyFont="1" applyBorder="1" applyAlignment="1">
      <alignment horizontal="center" vertical="center" wrapText="1"/>
    </xf>
    <xf numFmtId="2" fontId="76" fillId="0" borderId="246" xfId="32" applyNumberFormat="1" applyFont="1" applyFill="1" applyBorder="1" applyAlignment="1" applyProtection="1">
      <alignment horizontal="center" vertical="center" wrapText="1"/>
    </xf>
    <xf numFmtId="169" fontId="76" fillId="0" borderId="246" xfId="32" applyNumberFormat="1" applyFont="1" applyFill="1" applyBorder="1" applyAlignment="1" applyProtection="1">
      <alignment vertical="center" wrapText="1"/>
    </xf>
    <xf numFmtId="7" fontId="76" fillId="0" borderId="246" xfId="32" applyNumberFormat="1" applyFont="1" applyFill="1" applyBorder="1" applyAlignment="1" applyProtection="1">
      <alignment horizontal="right" vertical="center" wrapText="1"/>
    </xf>
    <xf numFmtId="169" fontId="76" fillId="0" borderId="246" xfId="32" applyNumberFormat="1" applyFont="1" applyFill="1" applyBorder="1" applyAlignment="1" applyProtection="1">
      <alignment horizontal="right" vertical="center" wrapText="1"/>
    </xf>
    <xf numFmtId="7" fontId="76" fillId="0" borderId="243" xfId="32" applyNumberFormat="1" applyFont="1" applyFill="1" applyBorder="1" applyAlignment="1" applyProtection="1">
      <alignment vertical="center" wrapText="1"/>
    </xf>
    <xf numFmtId="169" fontId="0" fillId="0" borderId="246" xfId="0" applyNumberFormat="1" applyFont="1" applyBorder="1" applyAlignment="1">
      <alignment vertical="center"/>
    </xf>
    <xf numFmtId="169" fontId="0" fillId="0" borderId="247" xfId="0" applyNumberFormat="1" applyFont="1" applyBorder="1" applyAlignment="1">
      <alignment vertical="center"/>
    </xf>
    <xf numFmtId="0" fontId="58" fillId="0" borderId="248" xfId="0" applyFont="1" applyBorder="1" applyAlignment="1">
      <alignment vertical="center" wrapText="1"/>
    </xf>
    <xf numFmtId="0" fontId="75" fillId="0" borderId="249" xfId="0" applyFont="1" applyBorder="1" applyAlignment="1">
      <alignment horizontal="center" vertical="center" wrapText="1"/>
    </xf>
    <xf numFmtId="0" fontId="58" fillId="0" borderId="249" xfId="0" applyFont="1" applyBorder="1" applyAlignment="1">
      <alignment vertical="center" wrapText="1"/>
    </xf>
    <xf numFmtId="174" fontId="63" fillId="0" borderId="249" xfId="0" applyNumberFormat="1" applyFont="1" applyBorder="1" applyAlignment="1">
      <alignment horizontal="center" vertical="center" wrapText="1"/>
    </xf>
    <xf numFmtId="2" fontId="58" fillId="0" borderId="249" xfId="32" applyNumberFormat="1" applyFont="1" applyFill="1" applyBorder="1" applyAlignment="1" applyProtection="1">
      <alignment horizontal="center" vertical="center" wrapText="1"/>
    </xf>
    <xf numFmtId="169" fontId="58" fillId="0" borderId="249" xfId="32" applyNumberFormat="1" applyFont="1" applyFill="1" applyBorder="1" applyAlignment="1" applyProtection="1">
      <alignment vertical="center" wrapText="1"/>
    </xf>
    <xf numFmtId="175" fontId="58" fillId="0" borderId="249" xfId="32" applyNumberFormat="1" applyFont="1" applyFill="1" applyBorder="1" applyAlignment="1" applyProtection="1">
      <alignment horizontal="center" vertical="center" wrapText="1"/>
    </xf>
    <xf numFmtId="169" fontId="58" fillId="0" borderId="249" xfId="32" applyNumberFormat="1" applyFont="1" applyFill="1" applyBorder="1" applyAlignment="1" applyProtection="1">
      <alignment horizontal="right" vertical="center" wrapText="1"/>
    </xf>
    <xf numFmtId="7" fontId="58" fillId="0" borderId="231" xfId="32" applyNumberFormat="1" applyFont="1" applyFill="1" applyBorder="1" applyAlignment="1" applyProtection="1">
      <alignment vertical="center" wrapText="1"/>
    </xf>
    <xf numFmtId="7" fontId="58" fillId="0" borderId="249" xfId="0" applyNumberFormat="1" applyFont="1" applyBorder="1" applyAlignment="1">
      <alignment vertical="center"/>
    </xf>
    <xf numFmtId="7" fontId="58" fillId="0" borderId="250" xfId="0" applyNumberFormat="1" applyFont="1" applyBorder="1" applyAlignment="1">
      <alignment vertical="center"/>
    </xf>
    <xf numFmtId="0" fontId="0" fillId="0" borderId="246" xfId="0" applyFont="1" applyBorder="1" applyAlignment="1">
      <alignment horizontal="center" vertical="center" wrapText="1"/>
    </xf>
    <xf numFmtId="0" fontId="58" fillId="0" borderId="88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90" fillId="0" borderId="73" xfId="0" applyFont="1" applyBorder="1" applyAlignment="1">
      <alignment horizontal="center" vertical="center" wrapText="1"/>
    </xf>
    <xf numFmtId="0" fontId="58" fillId="0" borderId="73" xfId="0" applyFont="1" applyBorder="1" applyAlignment="1">
      <alignment horizontal="center" vertical="center" wrapText="1"/>
    </xf>
    <xf numFmtId="0" fontId="28" fillId="0" borderId="251" xfId="0" applyFont="1" applyBorder="1" applyAlignment="1">
      <alignment horizontal="center" vertical="center" wrapText="1"/>
    </xf>
    <xf numFmtId="0" fontId="77" fillId="0" borderId="249" xfId="0" applyFont="1" applyFill="1" applyBorder="1" applyAlignment="1">
      <alignment horizontal="center" vertical="center"/>
    </xf>
    <xf numFmtId="0" fontId="77" fillId="0" borderId="232" xfId="0" applyFont="1" applyBorder="1" applyAlignment="1">
      <alignment horizontal="center" vertical="center"/>
    </xf>
    <xf numFmtId="169" fontId="0" fillId="0" borderId="185" xfId="0" applyNumberFormat="1" applyBorder="1" applyAlignment="1">
      <alignment vertical="center"/>
    </xf>
    <xf numFmtId="169" fontId="0" fillId="0" borderId="185" xfId="0" applyNumberFormat="1" applyFont="1" applyBorder="1" applyAlignment="1">
      <alignment horizontal="center" vertical="center"/>
    </xf>
    <xf numFmtId="169" fontId="0" fillId="0" borderId="252" xfId="0" applyNumberFormat="1" applyBorder="1" applyAlignment="1">
      <alignment vertical="center"/>
    </xf>
    <xf numFmtId="0" fontId="0" fillId="0" borderId="253" xfId="0" applyBorder="1" applyAlignment="1">
      <alignment vertical="center"/>
    </xf>
    <xf numFmtId="169" fontId="28" fillId="0" borderId="230" xfId="0" applyNumberFormat="1" applyFont="1" applyBorder="1" applyAlignment="1">
      <alignment horizontal="center" vertical="center"/>
    </xf>
    <xf numFmtId="0" fontId="28" fillId="0" borderId="248" xfId="0" applyFont="1" applyBorder="1" applyAlignment="1">
      <alignment horizontal="center" vertical="center" wrapText="1"/>
    </xf>
    <xf numFmtId="0" fontId="54" fillId="0" borderId="249" xfId="0" applyFont="1" applyBorder="1" applyAlignment="1">
      <alignment horizontal="center" vertical="center" wrapText="1"/>
    </xf>
    <xf numFmtId="0" fontId="28" fillId="0" borderId="249" xfId="0" applyFont="1" applyBorder="1" applyAlignment="1">
      <alignment horizontal="center" vertical="center" wrapText="1"/>
    </xf>
    <xf numFmtId="174" fontId="16" fillId="0" borderId="249" xfId="0" applyNumberFormat="1" applyFont="1" applyBorder="1" applyAlignment="1">
      <alignment horizontal="center" vertical="center" wrapText="1"/>
    </xf>
    <xf numFmtId="0" fontId="28" fillId="0" borderId="231" xfId="0" applyFont="1" applyBorder="1" applyAlignment="1">
      <alignment horizontal="center" vertical="center" wrapText="1"/>
    </xf>
    <xf numFmtId="0" fontId="28" fillId="0" borderId="250" xfId="0" applyFont="1" applyBorder="1" applyAlignment="1">
      <alignment horizontal="center" vertical="center" wrapText="1"/>
    </xf>
    <xf numFmtId="0" fontId="29" fillId="0" borderId="229" xfId="0" applyFont="1" applyBorder="1" applyAlignment="1">
      <alignment horizontal="center" vertical="center"/>
    </xf>
    <xf numFmtId="0" fontId="0" fillId="0" borderId="77" xfId="0" applyFont="1" applyBorder="1" applyAlignment="1">
      <alignment vertical="center"/>
    </xf>
    <xf numFmtId="0" fontId="0" fillId="0" borderId="253" xfId="0" applyFont="1" applyBorder="1" applyAlignment="1">
      <alignment vertical="center"/>
    </xf>
    <xf numFmtId="169" fontId="0" fillId="0" borderId="252" xfId="0" applyNumberFormat="1" applyFont="1" applyBorder="1" applyAlignment="1">
      <alignment vertical="center"/>
    </xf>
    <xf numFmtId="169" fontId="0" fillId="0" borderId="167" xfId="0" applyNumberFormat="1" applyFont="1" applyBorder="1" applyAlignment="1">
      <alignment vertical="center"/>
    </xf>
    <xf numFmtId="0" fontId="77" fillId="0" borderId="249" xfId="0" applyFont="1" applyBorder="1" applyAlignment="1">
      <alignment horizontal="center" vertical="center"/>
    </xf>
    <xf numFmtId="169" fontId="100" fillId="0" borderId="185" xfId="0" applyNumberFormat="1" applyFont="1" applyBorder="1" applyAlignment="1">
      <alignment vertical="center"/>
    </xf>
    <xf numFmtId="169" fontId="0" fillId="0" borderId="185" xfId="0" applyNumberFormat="1" applyBorder="1" applyAlignment="1">
      <alignment horizontal="center" vertical="center"/>
    </xf>
    <xf numFmtId="169" fontId="100" fillId="0" borderId="65" xfId="0" applyNumberFormat="1" applyFont="1" applyBorder="1" applyAlignment="1">
      <alignment vertical="center"/>
    </xf>
    <xf numFmtId="169" fontId="0" fillId="0" borderId="65" xfId="0" applyNumberFormat="1" applyBorder="1" applyAlignment="1">
      <alignment horizontal="center" vertical="center"/>
    </xf>
    <xf numFmtId="169" fontId="54" fillId="0" borderId="65" xfId="0" applyNumberFormat="1" applyFont="1" applyBorder="1" applyAlignment="1">
      <alignment vertical="center"/>
    </xf>
    <xf numFmtId="169" fontId="100" fillId="0" borderId="254" xfId="0" applyNumberFormat="1" applyFont="1" applyBorder="1" applyAlignment="1">
      <alignment vertical="center"/>
    </xf>
    <xf numFmtId="169" fontId="0" fillId="0" borderId="254" xfId="0" applyNumberFormat="1" applyFont="1" applyBorder="1" applyAlignment="1">
      <alignment vertical="center"/>
    </xf>
    <xf numFmtId="169" fontId="0" fillId="0" borderId="254" xfId="0" applyNumberFormat="1" applyFont="1" applyBorder="1" applyAlignment="1">
      <alignment horizontal="center" vertical="center"/>
    </xf>
    <xf numFmtId="0" fontId="28" fillId="0" borderId="31" xfId="0" applyFont="1" applyFill="1" applyBorder="1" applyAlignment="1" applyProtection="1">
      <alignment horizontal="left" vertical="center" wrapText="1"/>
      <protection locked="0"/>
    </xf>
    <xf numFmtId="0" fontId="116" fillId="0" borderId="31" xfId="0" applyFont="1" applyFill="1" applyBorder="1" applyAlignment="1" applyProtection="1">
      <alignment horizontal="center" vertical="center" wrapText="1"/>
      <protection locked="0"/>
    </xf>
    <xf numFmtId="0" fontId="95" fillId="0" borderId="31" xfId="0" applyFont="1" applyFill="1" applyBorder="1" applyAlignment="1" applyProtection="1">
      <alignment horizontal="center" vertical="center" wrapText="1"/>
      <protection locked="0"/>
    </xf>
    <xf numFmtId="14" fontId="9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95" fillId="0" borderId="31" xfId="0" applyNumberFormat="1" applyFont="1" applyFill="1" applyBorder="1" applyAlignment="1" applyProtection="1">
      <alignment horizontal="center" vertical="center" wrapText="1"/>
      <protection locked="0"/>
    </xf>
    <xf numFmtId="14" fontId="95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6" xfId="0" applyFont="1" applyFill="1" applyBorder="1" applyAlignment="1" applyProtection="1">
      <alignment horizontal="left" vertical="center" wrapText="1"/>
      <protection locked="0"/>
    </xf>
    <xf numFmtId="0" fontId="116" fillId="0" borderId="26" xfId="0" applyFont="1" applyFill="1" applyBorder="1" applyAlignment="1" applyProtection="1">
      <alignment horizontal="center" vertical="center" wrapText="1"/>
      <protection locked="0"/>
    </xf>
    <xf numFmtId="0" fontId="95" fillId="0" borderId="26" xfId="0" applyFont="1" applyFill="1" applyBorder="1" applyAlignment="1" applyProtection="1">
      <alignment horizontal="center" vertical="center" wrapText="1"/>
      <protection locked="0"/>
    </xf>
    <xf numFmtId="14" fontId="9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95" fillId="0" borderId="26" xfId="0" applyNumberFormat="1" applyFont="1" applyFill="1" applyBorder="1" applyAlignment="1" applyProtection="1">
      <alignment horizontal="center" vertical="center" wrapText="1"/>
      <protection locked="0"/>
    </xf>
    <xf numFmtId="14" fontId="95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95" fillId="0" borderId="60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14" fontId="0" fillId="0" borderId="26" xfId="0" applyNumberFormat="1" applyFont="1" applyBorder="1" applyAlignment="1" applyProtection="1">
      <alignment horizontal="center" vertical="center" wrapText="1"/>
      <protection locked="0"/>
    </xf>
    <xf numFmtId="0" fontId="117" fillId="0" borderId="26" xfId="0" applyFont="1" applyFill="1" applyBorder="1" applyAlignment="1" applyProtection="1">
      <alignment horizontal="center" vertical="center" wrapText="1"/>
      <protection locked="0"/>
    </xf>
    <xf numFmtId="0" fontId="116" fillId="40" borderId="26" xfId="0" applyFont="1" applyFill="1" applyBorder="1" applyAlignment="1" applyProtection="1">
      <alignment horizontal="left" vertical="center" wrapText="1"/>
      <protection locked="0"/>
    </xf>
    <xf numFmtId="0" fontId="95" fillId="40" borderId="26" xfId="0" applyFont="1" applyFill="1" applyBorder="1" applyAlignment="1" applyProtection="1">
      <alignment horizontal="center" vertical="center" wrapText="1"/>
      <protection locked="0"/>
    </xf>
    <xf numFmtId="0" fontId="116" fillId="40" borderId="26" xfId="0" applyFont="1" applyFill="1" applyBorder="1" applyAlignment="1" applyProtection="1">
      <alignment horizontal="center" vertical="center" wrapText="1"/>
      <protection locked="0"/>
    </xf>
    <xf numFmtId="0" fontId="95" fillId="40" borderId="26" xfId="0" applyNumberFormat="1" applyFont="1" applyFill="1" applyBorder="1" applyAlignment="1" applyProtection="1">
      <alignment horizontal="center" vertical="center" wrapText="1"/>
      <protection locked="0"/>
    </xf>
    <xf numFmtId="14" fontId="95" fillId="40" borderId="26" xfId="0" applyNumberFormat="1" applyFont="1" applyFill="1" applyBorder="1" applyAlignment="1" applyProtection="1">
      <alignment horizontal="center" vertical="center" wrapText="1"/>
      <protection locked="0"/>
    </xf>
    <xf numFmtId="0" fontId="95" fillId="40" borderId="60" xfId="0" applyFont="1" applyFill="1" applyBorder="1" applyAlignment="1" applyProtection="1">
      <alignment horizontal="center" vertical="center" wrapText="1"/>
      <protection locked="0"/>
    </xf>
    <xf numFmtId="0" fontId="116" fillId="41" borderId="26" xfId="0" applyFont="1" applyFill="1" applyBorder="1" applyAlignment="1" applyProtection="1">
      <alignment horizontal="left" vertical="center" wrapText="1"/>
      <protection locked="0"/>
    </xf>
    <xf numFmtId="0" fontId="95" fillId="41" borderId="26" xfId="0" applyFont="1" applyFill="1" applyBorder="1" applyAlignment="1" applyProtection="1">
      <alignment horizontal="center" vertical="center" wrapText="1"/>
      <protection locked="0"/>
    </xf>
    <xf numFmtId="14" fontId="95" fillId="41" borderId="26" xfId="0" applyNumberFormat="1" applyFont="1" applyFill="1" applyBorder="1" applyAlignment="1" applyProtection="1">
      <alignment horizontal="center" vertical="center" wrapText="1"/>
      <protection locked="0"/>
    </xf>
    <xf numFmtId="0" fontId="116" fillId="41" borderId="26" xfId="0" applyFont="1" applyFill="1" applyBorder="1" applyAlignment="1" applyProtection="1">
      <alignment horizontal="center" vertical="center" wrapText="1"/>
      <protection locked="0"/>
    </xf>
    <xf numFmtId="0" fontId="95" fillId="41" borderId="26" xfId="0" applyNumberFormat="1" applyFont="1" applyFill="1" applyBorder="1" applyAlignment="1" applyProtection="1">
      <alignment horizontal="center" vertical="center" wrapText="1"/>
      <protection locked="0"/>
    </xf>
    <xf numFmtId="0" fontId="95" fillId="41" borderId="60" xfId="0" applyFont="1" applyFill="1" applyBorder="1" applyAlignment="1" applyProtection="1">
      <alignment horizontal="center" vertical="center" wrapText="1"/>
      <protection locked="0"/>
    </xf>
    <xf numFmtId="0" fontId="117" fillId="40" borderId="26" xfId="0" applyFont="1" applyFill="1" applyBorder="1" applyAlignment="1" applyProtection="1">
      <alignment horizontal="center" vertical="center" wrapText="1"/>
      <protection locked="0"/>
    </xf>
    <xf numFmtId="0" fontId="116" fillId="41" borderId="47" xfId="0" applyFont="1" applyFill="1" applyBorder="1" applyAlignment="1" applyProtection="1">
      <alignment horizontal="left" vertical="center" wrapText="1"/>
      <protection locked="0"/>
    </xf>
    <xf numFmtId="0" fontId="95" fillId="41" borderId="47" xfId="0" applyFont="1" applyFill="1" applyBorder="1" applyAlignment="1" applyProtection="1">
      <alignment horizontal="center" vertical="center" wrapText="1"/>
      <protection locked="0"/>
    </xf>
    <xf numFmtId="14" fontId="95" fillId="41" borderId="47" xfId="0" applyNumberFormat="1" applyFont="1" applyFill="1" applyBorder="1" applyAlignment="1" applyProtection="1">
      <alignment horizontal="center" vertical="center" wrapText="1"/>
      <protection locked="0"/>
    </xf>
    <xf numFmtId="0" fontId="116" fillId="41" borderId="47" xfId="0" applyFont="1" applyFill="1" applyBorder="1" applyAlignment="1" applyProtection="1">
      <alignment horizontal="center" vertical="center" wrapText="1"/>
      <protection locked="0"/>
    </xf>
    <xf numFmtId="0" fontId="95" fillId="41" borderId="47" xfId="0" applyNumberFormat="1" applyFont="1" applyFill="1" applyBorder="1" applyAlignment="1" applyProtection="1">
      <alignment horizontal="center" vertical="center" wrapText="1"/>
      <protection locked="0"/>
    </xf>
    <xf numFmtId="0" fontId="95" fillId="41" borderId="64" xfId="0" applyFont="1" applyFill="1" applyBorder="1" applyAlignment="1" applyProtection="1">
      <alignment horizontal="center" vertical="center" wrapText="1"/>
      <protection locked="0"/>
    </xf>
    <xf numFmtId="0" fontId="119" fillId="0" borderId="0" xfId="0" applyFont="1" applyFill="1" applyBorder="1" applyAlignment="1" applyProtection="1">
      <alignment horizontal="center" vertical="center" wrapText="1"/>
    </xf>
    <xf numFmtId="0" fontId="120" fillId="0" borderId="48" xfId="0" applyFont="1" applyFill="1" applyBorder="1" applyAlignment="1" applyProtection="1">
      <alignment horizontal="center" vertical="center" wrapText="1"/>
    </xf>
    <xf numFmtId="0" fontId="120" fillId="0" borderId="45" xfId="0" applyFont="1" applyFill="1" applyBorder="1" applyAlignment="1" applyProtection="1">
      <alignment horizontal="center" vertical="center" wrapText="1"/>
    </xf>
    <xf numFmtId="0" fontId="121" fillId="0" borderId="45" xfId="0" applyFont="1" applyFill="1" applyBorder="1" applyAlignment="1" applyProtection="1">
      <alignment horizontal="center" vertical="center" wrapText="1"/>
    </xf>
    <xf numFmtId="0" fontId="122" fillId="0" borderId="45" xfId="0" applyFont="1" applyFill="1" applyBorder="1" applyAlignment="1" applyProtection="1">
      <alignment horizontal="center" vertical="center" wrapText="1"/>
    </xf>
    <xf numFmtId="0" fontId="120" fillId="0" borderId="45" xfId="0" applyNumberFormat="1" applyFont="1" applyFill="1" applyBorder="1" applyAlignment="1" applyProtection="1">
      <alignment horizontal="center" vertical="center" wrapText="1"/>
    </xf>
    <xf numFmtId="0" fontId="120" fillId="0" borderId="58" xfId="0" applyFont="1" applyFill="1" applyBorder="1" applyAlignment="1" applyProtection="1">
      <alignment horizontal="center" vertical="center" wrapText="1"/>
    </xf>
    <xf numFmtId="0" fontId="100" fillId="0" borderId="0" xfId="0" applyFont="1" applyFill="1" applyBorder="1" applyAlignment="1" applyProtection="1">
      <alignment horizontal="center" vertical="center" wrapText="1"/>
    </xf>
    <xf numFmtId="0" fontId="28" fillId="0" borderId="128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28" fillId="0" borderId="49" xfId="0" applyFont="1" applyFill="1" applyBorder="1" applyAlignment="1" applyProtection="1">
      <alignment horizontal="center" vertical="center" wrapText="1"/>
    </xf>
    <xf numFmtId="0" fontId="116" fillId="40" borderId="49" xfId="0" applyFont="1" applyFill="1" applyBorder="1" applyAlignment="1" applyProtection="1">
      <alignment horizontal="center" vertical="center" wrapText="1"/>
    </xf>
    <xf numFmtId="0" fontId="116" fillId="41" borderId="49" xfId="0" applyFont="1" applyFill="1" applyBorder="1" applyAlignment="1" applyProtection="1">
      <alignment horizontal="center" vertical="center" wrapText="1"/>
    </xf>
    <xf numFmtId="0" fontId="116" fillId="41" borderId="5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2" fillId="43" borderId="0" xfId="0" applyFont="1" applyFill="1" applyBorder="1" applyAlignment="1">
      <alignment vertical="center"/>
    </xf>
    <xf numFmtId="167" fontId="78" fillId="43" borderId="128" xfId="0" applyNumberFormat="1" applyFont="1" applyFill="1" applyBorder="1" applyAlignment="1" applyProtection="1">
      <alignment horizontal="center" vertical="center"/>
      <protection locked="0"/>
    </xf>
    <xf numFmtId="167" fontId="78" fillId="43" borderId="31" xfId="0" applyNumberFormat="1" applyFont="1" applyFill="1" applyBorder="1" applyAlignment="1" applyProtection="1">
      <alignment horizontal="center" vertical="center"/>
      <protection locked="0"/>
    </xf>
    <xf numFmtId="167" fontId="78" fillId="43" borderId="51" xfId="0" applyNumberFormat="1" applyFont="1" applyFill="1" applyBorder="1" applyAlignment="1" applyProtection="1">
      <alignment horizontal="center" vertical="center"/>
      <protection locked="0"/>
    </xf>
    <xf numFmtId="167" fontId="78" fillId="43" borderId="0" xfId="0" applyNumberFormat="1" applyFont="1" applyFill="1" applyBorder="1" applyAlignment="1" applyProtection="1">
      <alignment horizontal="center" vertical="center"/>
      <protection locked="0"/>
    </xf>
    <xf numFmtId="167" fontId="78" fillId="43" borderId="301" xfId="0" applyNumberFormat="1" applyFont="1" applyFill="1" applyBorder="1" applyAlignment="1" applyProtection="1">
      <alignment horizontal="center" vertical="center"/>
      <protection locked="0"/>
    </xf>
    <xf numFmtId="167" fontId="78" fillId="43" borderId="42" xfId="0" applyNumberFormat="1" applyFont="1" applyFill="1" applyBorder="1" applyAlignment="1" applyProtection="1">
      <alignment horizontal="center" vertical="center"/>
      <protection locked="0"/>
    </xf>
    <xf numFmtId="167" fontId="78" fillId="43" borderId="33" xfId="0" applyNumberFormat="1" applyFont="1" applyFill="1" applyBorder="1" applyAlignment="1" applyProtection="1">
      <alignment horizontal="center" vertical="center"/>
      <protection locked="0"/>
    </xf>
    <xf numFmtId="167" fontId="78" fillId="43" borderId="303" xfId="0" applyNumberFormat="1" applyFont="1" applyFill="1" applyBorder="1" applyAlignment="1" applyProtection="1">
      <alignment horizontal="center" vertical="center"/>
      <protection locked="0"/>
    </xf>
    <xf numFmtId="167" fontId="23" fillId="43" borderId="12" xfId="0" applyNumberFormat="1" applyFont="1" applyFill="1" applyBorder="1" applyAlignment="1">
      <alignment horizontal="center" vertical="center"/>
    </xf>
    <xf numFmtId="0" fontId="22" fillId="43" borderId="9" xfId="0" applyFont="1" applyFill="1" applyBorder="1"/>
    <xf numFmtId="167" fontId="78" fillId="43" borderId="49" xfId="0" applyNumberFormat="1" applyFont="1" applyFill="1" applyBorder="1" applyAlignment="1" applyProtection="1">
      <alignment horizontal="center"/>
      <protection locked="0"/>
    </xf>
    <xf numFmtId="167" fontId="78" fillId="43" borderId="26" xfId="0" applyNumberFormat="1" applyFont="1" applyFill="1" applyBorder="1" applyAlignment="1" applyProtection="1">
      <alignment horizontal="center"/>
      <protection locked="0"/>
    </xf>
    <xf numFmtId="167" fontId="78" fillId="43" borderId="60" xfId="0" applyNumberFormat="1" applyFont="1" applyFill="1" applyBorder="1" applyAlignment="1" applyProtection="1">
      <alignment horizontal="center"/>
      <protection locked="0"/>
    </xf>
    <xf numFmtId="167" fontId="78" fillId="43" borderId="9" xfId="0" applyNumberFormat="1" applyFont="1" applyFill="1" applyBorder="1" applyAlignment="1" applyProtection="1">
      <alignment horizontal="center"/>
      <protection locked="0"/>
    </xf>
    <xf numFmtId="167" fontId="78" fillId="43" borderId="302" xfId="0" applyNumberFormat="1" applyFont="1" applyFill="1" applyBorder="1" applyAlignment="1" applyProtection="1">
      <alignment horizontal="center"/>
      <protection locked="0"/>
    </xf>
    <xf numFmtId="167" fontId="78" fillId="43" borderId="43" xfId="0" applyNumberFormat="1" applyFont="1" applyFill="1" applyBorder="1" applyAlignment="1" applyProtection="1">
      <alignment horizontal="center"/>
      <protection locked="0"/>
    </xf>
    <xf numFmtId="167" fontId="78" fillId="43" borderId="34" xfId="0" applyNumberFormat="1" applyFont="1" applyFill="1" applyBorder="1" applyAlignment="1" applyProtection="1">
      <alignment horizontal="center"/>
      <protection locked="0"/>
    </xf>
    <xf numFmtId="167" fontId="78" fillId="43" borderId="304" xfId="0" applyNumberFormat="1" applyFont="1" applyFill="1" applyBorder="1" applyAlignment="1" applyProtection="1">
      <alignment horizontal="center"/>
      <protection locked="0"/>
    </xf>
    <xf numFmtId="167" fontId="23" fillId="43" borderId="18" xfId="0" applyNumberFormat="1" applyFont="1" applyFill="1" applyBorder="1" applyAlignment="1">
      <alignment horizontal="center"/>
    </xf>
    <xf numFmtId="0" fontId="22" fillId="43" borderId="0" xfId="0" applyFont="1" applyFill="1" applyBorder="1"/>
    <xf numFmtId="167" fontId="78" fillId="43" borderId="128" xfId="0" applyNumberFormat="1" applyFont="1" applyFill="1" applyBorder="1" applyAlignment="1" applyProtection="1">
      <alignment horizontal="center"/>
      <protection locked="0"/>
    </xf>
    <xf numFmtId="167" fontId="78" fillId="43" borderId="31" xfId="0" applyNumberFormat="1" applyFont="1" applyFill="1" applyBorder="1" applyAlignment="1" applyProtection="1">
      <alignment horizontal="center"/>
      <protection locked="0"/>
    </xf>
    <xf numFmtId="167" fontId="78" fillId="43" borderId="51" xfId="0" applyNumberFormat="1" applyFont="1" applyFill="1" applyBorder="1" applyAlignment="1" applyProtection="1">
      <alignment horizontal="center"/>
      <protection locked="0"/>
    </xf>
    <xf numFmtId="167" fontId="78" fillId="43" borderId="0" xfId="0" applyNumberFormat="1" applyFont="1" applyFill="1" applyBorder="1" applyAlignment="1" applyProtection="1">
      <alignment horizontal="center"/>
      <protection locked="0"/>
    </xf>
    <xf numFmtId="167" fontId="78" fillId="43" borderId="301" xfId="0" applyNumberFormat="1" applyFont="1" applyFill="1" applyBorder="1" applyAlignment="1" applyProtection="1">
      <alignment horizontal="center"/>
      <protection locked="0"/>
    </xf>
    <xf numFmtId="167" fontId="78" fillId="43" borderId="42" xfId="0" applyNumberFormat="1" applyFont="1" applyFill="1" applyBorder="1" applyAlignment="1" applyProtection="1">
      <alignment horizontal="center"/>
      <protection locked="0"/>
    </xf>
    <xf numFmtId="167" fontId="78" fillId="43" borderId="33" xfId="0" applyNumberFormat="1" applyFont="1" applyFill="1" applyBorder="1" applyAlignment="1" applyProtection="1">
      <alignment horizontal="center"/>
      <protection locked="0"/>
    </xf>
    <xf numFmtId="167" fontId="78" fillId="43" borderId="303" xfId="0" applyNumberFormat="1" applyFont="1" applyFill="1" applyBorder="1" applyAlignment="1" applyProtection="1">
      <alignment horizontal="center"/>
      <protection locked="0"/>
    </xf>
    <xf numFmtId="167" fontId="23" fillId="43" borderId="12" xfId="0" applyNumberFormat="1" applyFont="1" applyFill="1" applyBorder="1" applyAlignment="1">
      <alignment horizontal="center"/>
    </xf>
    <xf numFmtId="0" fontId="22" fillId="45" borderId="9" xfId="0" applyFont="1" applyFill="1" applyBorder="1" applyAlignment="1">
      <alignment vertical="center"/>
    </xf>
    <xf numFmtId="167" fontId="78" fillId="45" borderId="49" xfId="0" applyNumberFormat="1" applyFont="1" applyFill="1" applyBorder="1" applyAlignment="1" applyProtection="1">
      <alignment horizontal="center" vertical="center"/>
      <protection locked="0"/>
    </xf>
    <xf numFmtId="167" fontId="78" fillId="45" borderId="26" xfId="0" applyNumberFormat="1" applyFont="1" applyFill="1" applyBorder="1" applyAlignment="1" applyProtection="1">
      <alignment horizontal="center" vertical="center"/>
      <protection locked="0"/>
    </xf>
    <xf numFmtId="167" fontId="78" fillId="45" borderId="60" xfId="0" applyNumberFormat="1" applyFont="1" applyFill="1" applyBorder="1" applyAlignment="1" applyProtection="1">
      <alignment horizontal="center" vertical="center"/>
      <protection locked="0"/>
    </xf>
    <xf numFmtId="167" fontId="78" fillId="45" borderId="9" xfId="0" applyNumberFormat="1" applyFont="1" applyFill="1" applyBorder="1" applyAlignment="1" applyProtection="1">
      <alignment horizontal="center" vertical="center"/>
      <protection locked="0"/>
    </xf>
    <xf numFmtId="167" fontId="78" fillId="45" borderId="302" xfId="0" applyNumberFormat="1" applyFont="1" applyFill="1" applyBorder="1" applyAlignment="1" applyProtection="1">
      <alignment horizontal="center" vertical="center"/>
      <protection locked="0"/>
    </xf>
    <xf numFmtId="167" fontId="78" fillId="45" borderId="43" xfId="0" applyNumberFormat="1" applyFont="1" applyFill="1" applyBorder="1" applyAlignment="1" applyProtection="1">
      <alignment horizontal="center" vertical="center"/>
      <protection locked="0"/>
    </xf>
    <xf numFmtId="167" fontId="78" fillId="45" borderId="34" xfId="0" applyNumberFormat="1" applyFont="1" applyFill="1" applyBorder="1" applyAlignment="1" applyProtection="1">
      <alignment horizontal="center" vertical="center"/>
      <protection locked="0"/>
    </xf>
    <xf numFmtId="167" fontId="78" fillId="45" borderId="304" xfId="0" applyNumberFormat="1" applyFont="1" applyFill="1" applyBorder="1" applyAlignment="1" applyProtection="1">
      <alignment horizontal="center" vertical="center"/>
      <protection locked="0"/>
    </xf>
    <xf numFmtId="167" fontId="23" fillId="45" borderId="18" xfId="0" applyNumberFormat="1" applyFont="1" applyFill="1" applyBorder="1" applyAlignment="1">
      <alignment horizontal="center" vertical="center"/>
    </xf>
    <xf numFmtId="0" fontId="22" fillId="45" borderId="9" xfId="0" applyFont="1" applyFill="1" applyBorder="1"/>
    <xf numFmtId="167" fontId="78" fillId="45" borderId="49" xfId="0" applyNumberFormat="1" applyFont="1" applyFill="1" applyBorder="1" applyAlignment="1" applyProtection="1">
      <alignment horizontal="center"/>
      <protection locked="0"/>
    </xf>
    <xf numFmtId="167" fontId="78" fillId="45" borderId="26" xfId="0" applyNumberFormat="1" applyFont="1" applyFill="1" applyBorder="1" applyAlignment="1" applyProtection="1">
      <alignment horizontal="center"/>
      <protection locked="0"/>
    </xf>
    <xf numFmtId="167" fontId="78" fillId="45" borderId="60" xfId="0" applyNumberFormat="1" applyFont="1" applyFill="1" applyBorder="1" applyAlignment="1" applyProtection="1">
      <alignment horizontal="center"/>
      <protection locked="0"/>
    </xf>
    <xf numFmtId="167" fontId="78" fillId="45" borderId="9" xfId="0" applyNumberFormat="1" applyFont="1" applyFill="1" applyBorder="1" applyAlignment="1" applyProtection="1">
      <alignment horizontal="center"/>
      <protection locked="0"/>
    </xf>
    <xf numFmtId="167" fontId="78" fillId="45" borderId="302" xfId="0" applyNumberFormat="1" applyFont="1" applyFill="1" applyBorder="1" applyAlignment="1" applyProtection="1">
      <alignment horizontal="center"/>
      <protection locked="0"/>
    </xf>
    <xf numFmtId="167" fontId="78" fillId="45" borderId="43" xfId="0" applyNumberFormat="1" applyFont="1" applyFill="1" applyBorder="1" applyAlignment="1" applyProtection="1">
      <alignment horizontal="center"/>
      <protection locked="0"/>
    </xf>
    <xf numFmtId="167" fontId="78" fillId="45" borderId="34" xfId="0" applyNumberFormat="1" applyFont="1" applyFill="1" applyBorder="1" applyAlignment="1" applyProtection="1">
      <alignment horizontal="center"/>
      <protection locked="0"/>
    </xf>
    <xf numFmtId="167" fontId="78" fillId="45" borderId="304" xfId="0" applyNumberFormat="1" applyFont="1" applyFill="1" applyBorder="1" applyAlignment="1" applyProtection="1">
      <alignment horizontal="center"/>
      <protection locked="0"/>
    </xf>
    <xf numFmtId="167" fontId="23" fillId="45" borderId="18" xfId="0" applyNumberFormat="1" applyFont="1" applyFill="1" applyBorder="1" applyAlignment="1">
      <alignment horizontal="center"/>
    </xf>
    <xf numFmtId="167" fontId="23" fillId="48" borderId="299" xfId="0" applyNumberFormat="1" applyFont="1" applyFill="1" applyBorder="1" applyAlignment="1">
      <alignment horizontal="center" vertical="center" textRotation="90"/>
    </xf>
    <xf numFmtId="167" fontId="23" fillId="46" borderId="17" xfId="0" applyNumberFormat="1" applyFont="1" applyFill="1" applyBorder="1" applyAlignment="1">
      <alignment horizontal="center" vertical="center" textRotation="90"/>
    </xf>
    <xf numFmtId="167" fontId="23" fillId="47" borderId="300" xfId="0" applyNumberFormat="1" applyFont="1" applyFill="1" applyBorder="1" applyAlignment="1">
      <alignment horizontal="center" vertical="center" textRotation="90"/>
    </xf>
    <xf numFmtId="167" fontId="27" fillId="18" borderId="11" xfId="0" applyNumberFormat="1" applyFont="1" applyFill="1" applyBorder="1" applyAlignment="1">
      <alignment horizontal="center" vertical="center"/>
    </xf>
    <xf numFmtId="0" fontId="128" fillId="43" borderId="307" xfId="0" applyFont="1" applyFill="1" applyBorder="1" applyAlignment="1" applyProtection="1">
      <alignment horizontal="center" vertical="center"/>
      <protection locked="0"/>
    </xf>
    <xf numFmtId="0" fontId="128" fillId="45" borderId="308" xfId="0" applyFont="1" applyFill="1" applyBorder="1" applyAlignment="1" applyProtection="1">
      <alignment horizontal="center" vertical="center"/>
      <protection locked="0"/>
    </xf>
    <xf numFmtId="0" fontId="128" fillId="43" borderId="308" xfId="0" applyFont="1" applyFill="1" applyBorder="1" applyAlignment="1" applyProtection="1">
      <alignment horizontal="center"/>
      <protection locked="0"/>
    </xf>
    <xf numFmtId="0" fontId="128" fillId="45" borderId="308" xfId="0" applyFont="1" applyFill="1" applyBorder="1" applyAlignment="1" applyProtection="1">
      <alignment horizontal="center"/>
      <protection locked="0"/>
    </xf>
    <xf numFmtId="0" fontId="128" fillId="43" borderId="207" xfId="0" applyFont="1" applyFill="1" applyBorder="1" applyAlignment="1" applyProtection="1">
      <alignment horizontal="center"/>
      <protection locked="0"/>
    </xf>
    <xf numFmtId="49" fontId="125" fillId="18" borderId="291" xfId="0" applyNumberFormat="1" applyFont="1" applyFill="1" applyBorder="1" applyAlignment="1">
      <alignment horizontal="center" vertical="center" wrapText="1"/>
    </xf>
    <xf numFmtId="2" fontId="22" fillId="48" borderId="305" xfId="0" applyNumberFormat="1" applyFont="1" applyFill="1" applyBorder="1" applyAlignment="1">
      <alignment horizontal="center" textRotation="90"/>
    </xf>
    <xf numFmtId="2" fontId="22" fillId="46" borderId="172" xfId="0" applyNumberFormat="1" applyFont="1" applyFill="1" applyBorder="1" applyAlignment="1">
      <alignment horizontal="center" textRotation="90"/>
    </xf>
    <xf numFmtId="2" fontId="22" fillId="47" borderId="295" xfId="0" applyNumberFormat="1" applyFont="1" applyFill="1" applyBorder="1" applyAlignment="1">
      <alignment horizontal="center" textRotation="90"/>
    </xf>
    <xf numFmtId="1" fontId="128" fillId="48" borderId="309" xfId="0" applyNumberFormat="1" applyFont="1" applyFill="1" applyBorder="1" applyAlignment="1" applyProtection="1">
      <alignment horizontal="center" vertical="center"/>
      <protection locked="0"/>
    </xf>
    <xf numFmtId="1" fontId="128" fillId="44" borderId="40" xfId="0" applyNumberFormat="1" applyFont="1" applyFill="1" applyBorder="1" applyAlignment="1" applyProtection="1">
      <alignment horizontal="center" vertical="center"/>
      <protection locked="0"/>
    </xf>
    <xf numFmtId="1" fontId="128" fillId="47" borderId="310" xfId="0" applyNumberFormat="1" applyFont="1" applyFill="1" applyBorder="1" applyAlignment="1" applyProtection="1">
      <alignment horizontal="center" vertical="center"/>
      <protection locked="0"/>
    </xf>
    <xf numFmtId="0" fontId="132" fillId="18" borderId="297" xfId="0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2" fillId="0" borderId="51" xfId="0" applyFont="1" applyBorder="1" applyAlignment="1">
      <alignment horizontal="center" vertical="center" wrapText="1"/>
    </xf>
    <xf numFmtId="0" fontId="103" fillId="0" borderId="51" xfId="0" applyFont="1" applyBorder="1" applyAlignment="1">
      <alignment horizontal="center" vertical="center" wrapText="1"/>
    </xf>
    <xf numFmtId="0" fontId="97" fillId="29" borderId="6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7" fillId="25" borderId="256" xfId="0" applyFont="1" applyFill="1" applyBorder="1" applyAlignment="1">
      <alignment horizontal="center" vertical="center" wrapText="1"/>
    </xf>
    <xf numFmtId="0" fontId="97" fillId="25" borderId="257" xfId="0" applyFont="1" applyFill="1" applyBorder="1" applyAlignment="1">
      <alignment horizontal="center" vertical="center" wrapText="1"/>
    </xf>
    <xf numFmtId="0" fontId="97" fillId="25" borderId="258" xfId="0" applyFont="1" applyFill="1" applyBorder="1" applyAlignment="1">
      <alignment horizontal="center" vertical="center" wrapText="1"/>
    </xf>
    <xf numFmtId="0" fontId="97" fillId="25" borderId="259" xfId="0" applyFont="1" applyFill="1" applyBorder="1" applyAlignment="1">
      <alignment horizontal="center" vertical="center" wrapText="1"/>
    </xf>
    <xf numFmtId="0" fontId="81" fillId="25" borderId="256" xfId="0" applyFont="1" applyFill="1" applyBorder="1" applyAlignment="1">
      <alignment horizontal="center" vertical="center" wrapText="1"/>
    </xf>
    <xf numFmtId="0" fontId="81" fillId="25" borderId="257" xfId="0" applyFont="1" applyFill="1" applyBorder="1" applyAlignment="1">
      <alignment horizontal="center" vertical="center" wrapText="1"/>
    </xf>
    <xf numFmtId="0" fontId="81" fillId="25" borderId="260" xfId="0" applyFont="1" applyFill="1" applyBorder="1" applyAlignment="1">
      <alignment horizontal="center" vertical="center" wrapText="1"/>
    </xf>
    <xf numFmtId="0" fontId="81" fillId="25" borderId="261" xfId="0" applyFont="1" applyFill="1" applyBorder="1" applyAlignment="1">
      <alignment horizontal="center" vertical="center" wrapText="1"/>
    </xf>
    <xf numFmtId="0" fontId="81" fillId="25" borderId="258" xfId="0" applyFont="1" applyFill="1" applyBorder="1" applyAlignment="1">
      <alignment horizontal="center" vertical="center" wrapText="1"/>
    </xf>
    <xf numFmtId="0" fontId="81" fillId="25" borderId="259" xfId="0" applyFont="1" applyFill="1" applyBorder="1" applyAlignment="1">
      <alignment horizontal="center" vertical="center" wrapText="1"/>
    </xf>
    <xf numFmtId="0" fontId="106" fillId="0" borderId="260" xfId="0" applyFont="1" applyBorder="1" applyAlignment="1">
      <alignment horizontal="left" vertical="center" wrapText="1"/>
    </xf>
    <xf numFmtId="0" fontId="106" fillId="0" borderId="0" xfId="0" applyFont="1" applyBorder="1" applyAlignment="1">
      <alignment horizontal="left" vertical="center" wrapText="1"/>
    </xf>
    <xf numFmtId="0" fontId="102" fillId="0" borderId="0" xfId="0" applyFont="1" applyBorder="1" applyAlignment="1">
      <alignment horizontal="left" vertical="center" wrapText="1"/>
    </xf>
    <xf numFmtId="0" fontId="107" fillId="0" borderId="260" xfId="0" applyFont="1" applyBorder="1" applyAlignment="1">
      <alignment horizontal="left" vertical="center" wrapText="1"/>
    </xf>
    <xf numFmtId="0" fontId="107" fillId="0" borderId="0" xfId="0" applyFont="1" applyBorder="1" applyAlignment="1">
      <alignment horizontal="left" vertical="center" wrapText="1"/>
    </xf>
    <xf numFmtId="0" fontId="104" fillId="0" borderId="50" xfId="0" applyFont="1" applyBorder="1" applyAlignment="1">
      <alignment horizontal="center" vertical="center" wrapText="1"/>
    </xf>
    <xf numFmtId="0" fontId="96" fillId="0" borderId="61" xfId="0" applyFont="1" applyBorder="1" applyAlignment="1">
      <alignment horizontal="center" vertical="center" wrapText="1"/>
    </xf>
    <xf numFmtId="0" fontId="96" fillId="0" borderId="64" xfId="0" applyFont="1" applyBorder="1" applyAlignment="1">
      <alignment horizontal="center" vertical="center" wrapText="1"/>
    </xf>
    <xf numFmtId="0" fontId="105" fillId="29" borderId="0" xfId="0" applyFont="1" applyFill="1" applyAlignment="1">
      <alignment horizontal="center" vertical="center" wrapText="1"/>
    </xf>
    <xf numFmtId="0" fontId="97" fillId="29" borderId="255" xfId="0" applyFont="1" applyFill="1" applyBorder="1" applyAlignment="1">
      <alignment horizontal="center" vertical="center" wrapText="1"/>
    </xf>
    <xf numFmtId="0" fontId="97" fillId="29" borderId="10" xfId="0" applyFont="1" applyFill="1" applyBorder="1" applyAlignment="1">
      <alignment horizontal="center" vertical="center" wrapText="1"/>
    </xf>
    <xf numFmtId="0" fontId="97" fillId="29" borderId="11" xfId="0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 wrapText="1"/>
    </xf>
    <xf numFmtId="0" fontId="118" fillId="42" borderId="255" xfId="0" applyFont="1" applyFill="1" applyBorder="1" applyAlignment="1" applyProtection="1">
      <alignment horizontal="center" vertical="center" wrapText="1"/>
    </xf>
    <xf numFmtId="0" fontId="118" fillId="42" borderId="10" xfId="0" applyFont="1" applyFill="1" applyBorder="1" applyAlignment="1" applyProtection="1">
      <alignment vertical="center" wrapText="1"/>
    </xf>
    <xf numFmtId="0" fontId="119" fillId="42" borderId="10" xfId="0" applyFont="1" applyFill="1" applyBorder="1" applyAlignment="1" applyProtection="1">
      <alignment horizontal="center" vertical="center" wrapText="1"/>
    </xf>
    <xf numFmtId="0" fontId="119" fillId="42" borderId="11" xfId="0" applyFont="1" applyFill="1" applyBorder="1" applyAlignment="1" applyProtection="1">
      <alignment horizontal="center" vertical="center" wrapText="1"/>
    </xf>
    <xf numFmtId="0" fontId="39" fillId="18" borderId="255" xfId="0" applyFont="1" applyFill="1" applyBorder="1" applyAlignment="1">
      <alignment horizontal="center" vertical="center" wrapText="1"/>
    </xf>
    <xf numFmtId="0" fontId="108" fillId="18" borderId="22" xfId="0" applyFont="1" applyFill="1" applyBorder="1" applyAlignment="1">
      <alignment horizontal="center" vertical="center" wrapText="1"/>
    </xf>
    <xf numFmtId="169" fontId="37" fillId="18" borderId="21" xfId="0" applyNumberFormat="1" applyFont="1" applyFill="1" applyBorder="1" applyAlignment="1" applyProtection="1">
      <alignment horizontal="center" vertical="center" wrapText="1"/>
    </xf>
    <xf numFmtId="0" fontId="100" fillId="0" borderId="222" xfId="0" applyFont="1" applyBorder="1" applyAlignment="1" applyProtection="1">
      <alignment horizontal="center" vertical="center" wrapText="1"/>
    </xf>
    <xf numFmtId="169" fontId="37" fillId="18" borderId="223" xfId="0" applyNumberFormat="1" applyFont="1" applyFill="1" applyBorder="1" applyAlignment="1" applyProtection="1">
      <alignment horizontal="center" vertical="center" wrapText="1"/>
    </xf>
    <xf numFmtId="0" fontId="100" fillId="0" borderId="22" xfId="0" applyFont="1" applyBorder="1" applyAlignment="1" applyProtection="1">
      <alignment horizontal="center" vertical="center" wrapText="1"/>
    </xf>
    <xf numFmtId="0" fontId="28" fillId="0" borderId="65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6" fillId="18" borderId="255" xfId="0" applyFont="1" applyFill="1" applyBorder="1" applyAlignment="1" applyProtection="1">
      <alignment horizontal="center" vertical="center" wrapText="1"/>
    </xf>
    <xf numFmtId="0" fontId="77" fillId="18" borderId="10" xfId="0" applyFont="1" applyFill="1" applyBorder="1" applyAlignment="1" applyProtection="1">
      <alignment horizontal="center" vertical="center" wrapText="1"/>
    </xf>
    <xf numFmtId="0" fontId="77" fillId="18" borderId="11" xfId="0" applyFont="1" applyFill="1" applyBorder="1" applyAlignment="1" applyProtection="1">
      <alignment horizontal="center" vertical="center" wrapText="1"/>
    </xf>
    <xf numFmtId="0" fontId="39" fillId="18" borderId="21" xfId="0" applyFont="1" applyFill="1" applyBorder="1" applyAlignment="1" applyProtection="1">
      <alignment horizontal="center" vertical="center" wrapText="1"/>
    </xf>
    <xf numFmtId="0" fontId="39" fillId="18" borderId="10" xfId="0" applyFont="1" applyFill="1" applyBorder="1" applyAlignment="1" applyProtection="1">
      <alignment horizontal="center" vertical="center" wrapText="1"/>
    </xf>
    <xf numFmtId="0" fontId="39" fillId="18" borderId="222" xfId="0" applyFont="1" applyFill="1" applyBorder="1" applyAlignment="1" applyProtection="1">
      <alignment horizontal="center" vertical="center" wrapText="1"/>
    </xf>
    <xf numFmtId="0" fontId="87" fillId="18" borderId="255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1" fontId="131" fillId="18" borderId="306" xfId="0" applyNumberFormat="1" applyFont="1" applyFill="1" applyBorder="1" applyAlignment="1">
      <alignment horizontal="right" vertical="center" textRotation="90"/>
    </xf>
    <xf numFmtId="0" fontId="129" fillId="0" borderId="290" xfId="0" applyFont="1" applyBorder="1" applyAlignment="1">
      <alignment vertical="center" textRotation="90"/>
    </xf>
    <xf numFmtId="167" fontId="29" fillId="18" borderId="255" xfId="0" applyNumberFormat="1" applyFont="1" applyFill="1" applyBorder="1" applyAlignment="1">
      <alignment horizontal="right" vertical="center" wrapText="1"/>
    </xf>
    <xf numFmtId="0" fontId="89" fillId="18" borderId="11" xfId="0" applyFont="1" applyFill="1" applyBorder="1" applyAlignment="1">
      <alignment horizontal="right" vertical="center" wrapText="1"/>
    </xf>
    <xf numFmtId="166" fontId="126" fillId="18" borderId="267" xfId="0" applyNumberFormat="1" applyFont="1" applyFill="1" applyBorder="1" applyAlignment="1" applyProtection="1">
      <alignment horizontal="center" vertical="center" textRotation="90"/>
    </xf>
    <xf numFmtId="0" fontId="130" fillId="0" borderId="265" xfId="0" applyFont="1" applyBorder="1" applyAlignment="1">
      <alignment vertical="center" textRotation="90"/>
    </xf>
    <xf numFmtId="0" fontId="130" fillId="0" borderId="298" xfId="0" applyFont="1" applyBorder="1" applyAlignment="1">
      <alignment vertical="center" textRotation="90"/>
    </xf>
    <xf numFmtId="0" fontId="27" fillId="18" borderId="262" xfId="0" applyFont="1" applyFill="1" applyBorder="1" applyAlignment="1">
      <alignment horizontal="center" vertical="center" textRotation="90"/>
    </xf>
    <xf numFmtId="0" fontId="82" fillId="18" borderId="12" xfId="0" applyFont="1" applyFill="1" applyBorder="1" applyAlignment="1">
      <alignment horizontal="center" vertical="center" textRotation="90"/>
    </xf>
    <xf numFmtId="0" fontId="82" fillId="18" borderId="263" xfId="0" applyFont="1" applyFill="1" applyBorder="1" applyAlignment="1">
      <alignment horizontal="center" vertical="center" textRotation="90"/>
    </xf>
    <xf numFmtId="0" fontId="127" fillId="18" borderId="267" xfId="0" applyFont="1" applyFill="1" applyBorder="1" applyAlignment="1">
      <alignment horizontal="center" vertical="center" wrapText="1"/>
    </xf>
    <xf numFmtId="0" fontId="127" fillId="18" borderId="265" xfId="0" applyFont="1" applyFill="1" applyBorder="1" applyAlignment="1">
      <alignment horizontal="center" vertical="center" wrapText="1"/>
    </xf>
    <xf numFmtId="0" fontId="130" fillId="18" borderId="265" xfId="0" applyFont="1" applyFill="1" applyBorder="1" applyAlignment="1">
      <alignment vertical="center" textRotation="90"/>
    </xf>
    <xf numFmtId="0" fontId="130" fillId="18" borderId="298" xfId="0" applyFont="1" applyFill="1" applyBorder="1" applyAlignment="1">
      <alignment vertical="center" textRotation="90"/>
    </xf>
    <xf numFmtId="169" fontId="25" fillId="0" borderId="268" xfId="0" applyNumberFormat="1" applyFont="1" applyBorder="1" applyAlignment="1" applyProtection="1">
      <alignment horizontal="center" vertical="center" textRotation="90" wrapText="1"/>
    </xf>
    <xf numFmtId="0" fontId="0" fillId="0" borderId="269" xfId="0" applyBorder="1" applyAlignment="1">
      <alignment horizontal="center" vertical="center" textRotation="90" wrapText="1"/>
    </xf>
    <xf numFmtId="168" fontId="25" fillId="0" borderId="223" xfId="0" applyNumberFormat="1" applyFont="1" applyBorder="1" applyAlignment="1" applyProtection="1">
      <alignment horizontal="center" vertical="center"/>
    </xf>
    <xf numFmtId="0" fontId="0" fillId="0" borderId="222" xfId="0" applyBorder="1" applyAlignment="1">
      <alignment vertical="center"/>
    </xf>
    <xf numFmtId="167" fontId="29" fillId="0" borderId="255" xfId="0" applyNumberFormat="1" applyFont="1" applyBorder="1" applyAlignment="1" applyProtection="1">
      <alignment horizontal="center" vertical="center" wrapText="1"/>
    </xf>
    <xf numFmtId="0" fontId="89" fillId="0" borderId="22" xfId="0" applyFont="1" applyBorder="1" applyAlignment="1" applyProtection="1">
      <alignment vertical="center" wrapText="1"/>
    </xf>
    <xf numFmtId="0" fontId="30" fillId="18" borderId="267" xfId="0" applyFont="1" applyFill="1" applyBorder="1" applyAlignment="1" applyProtection="1">
      <alignment horizontal="center" vertical="center" wrapText="1"/>
    </xf>
    <xf numFmtId="0" fontId="109" fillId="18" borderId="266" xfId="0" applyFont="1" applyFill="1" applyBorder="1" applyAlignment="1" applyProtection="1">
      <alignment horizontal="center" vertical="center" wrapText="1"/>
    </xf>
    <xf numFmtId="166" fontId="30" fillId="18" borderId="265" xfId="0" applyNumberFormat="1" applyFont="1" applyFill="1" applyBorder="1" applyAlignment="1" applyProtection="1">
      <alignment horizontal="center" vertical="center"/>
    </xf>
    <xf numFmtId="166" fontId="30" fillId="18" borderId="266" xfId="0" applyNumberFormat="1" applyFont="1" applyFill="1" applyBorder="1" applyAlignment="1" applyProtection="1">
      <alignment horizontal="center" vertical="center"/>
    </xf>
    <xf numFmtId="167" fontId="24" fillId="0" borderId="255" xfId="0" applyNumberFormat="1" applyFont="1" applyBorder="1" applyAlignment="1" applyProtection="1">
      <alignment horizontal="center" vertical="center" wrapText="1"/>
    </xf>
    <xf numFmtId="0" fontId="110" fillId="0" borderId="22" xfId="0" applyFont="1" applyBorder="1" applyAlignment="1" applyProtection="1">
      <alignment vertical="center" wrapText="1"/>
    </xf>
    <xf numFmtId="0" fontId="29" fillId="0" borderId="262" xfId="0" applyFont="1" applyBorder="1" applyAlignment="1" applyProtection="1">
      <alignment horizontal="center" vertical="center" textRotation="90"/>
    </xf>
    <xf numFmtId="0" fontId="89" fillId="0" borderId="12" xfId="0" applyFont="1" applyBorder="1" applyAlignment="1" applyProtection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0" fillId="0" borderId="270" xfId="0" applyBorder="1" applyAlignment="1">
      <alignment horizontal="center" vertical="center"/>
    </xf>
    <xf numFmtId="166" fontId="30" fillId="18" borderId="264" xfId="0" applyNumberFormat="1" applyFont="1" applyFill="1" applyBorder="1" applyAlignment="1" applyProtection="1">
      <alignment horizontal="center" vertical="center"/>
    </xf>
    <xf numFmtId="0" fontId="111" fillId="0" borderId="265" xfId="0" applyFont="1" applyBorder="1" applyAlignment="1">
      <alignment horizontal="center" vertical="center"/>
    </xf>
    <xf numFmtId="0" fontId="111" fillId="39" borderId="262" xfId="0" applyFont="1" applyFill="1" applyBorder="1" applyAlignment="1">
      <alignment horizontal="center" vertical="center"/>
    </xf>
    <xf numFmtId="0" fontId="0" fillId="39" borderId="12" xfId="0" applyFill="1" applyBorder="1" applyAlignment="1">
      <alignment vertical="center"/>
    </xf>
    <xf numFmtId="0" fontId="0" fillId="39" borderId="270" xfId="0" applyFill="1" applyBorder="1" applyAlignment="1">
      <alignment vertical="center"/>
    </xf>
    <xf numFmtId="166" fontId="31" fillId="18" borderId="264" xfId="0" applyNumberFormat="1" applyFont="1" applyFill="1" applyBorder="1" applyAlignment="1" applyProtection="1">
      <alignment horizontal="center" vertical="center" textRotation="90"/>
    </xf>
    <xf numFmtId="166" fontId="31" fillId="18" borderId="265" xfId="0" applyNumberFormat="1" applyFont="1" applyFill="1" applyBorder="1" applyAlignment="1" applyProtection="1">
      <alignment horizontal="center" vertical="center" textRotation="90"/>
    </xf>
    <xf numFmtId="166" fontId="31" fillId="18" borderId="266" xfId="0" applyNumberFormat="1" applyFont="1" applyFill="1" applyBorder="1" applyAlignment="1" applyProtection="1">
      <alignment horizontal="center" vertical="center" textRotation="90"/>
    </xf>
    <xf numFmtId="0" fontId="24" fillId="25" borderId="281" xfId="0" applyFont="1" applyFill="1" applyBorder="1" applyAlignment="1">
      <alignment horizontal="center" vertical="center"/>
    </xf>
    <xf numFmtId="0" fontId="24" fillId="25" borderId="282" xfId="0" applyFont="1" applyFill="1" applyBorder="1" applyAlignment="1">
      <alignment horizontal="center" vertical="center"/>
    </xf>
    <xf numFmtId="0" fontId="113" fillId="25" borderId="282" xfId="0" applyFont="1" applyFill="1" applyBorder="1" applyAlignment="1">
      <alignment vertical="center"/>
    </xf>
    <xf numFmtId="0" fontId="113" fillId="25" borderId="238" xfId="0" applyFont="1" applyFill="1" applyBorder="1" applyAlignment="1">
      <alignment vertical="center"/>
    </xf>
    <xf numFmtId="0" fontId="0" fillId="25" borderId="147" xfId="0" applyFill="1" applyBorder="1" applyAlignment="1">
      <alignment vertical="center"/>
    </xf>
    <xf numFmtId="0" fontId="0" fillId="25" borderId="283" xfId="0" applyFill="1" applyBorder="1" applyAlignment="1">
      <alignment vertical="center"/>
    </xf>
    <xf numFmtId="0" fontId="0" fillId="25" borderId="148" xfId="0" applyFill="1" applyBorder="1" applyAlignment="1">
      <alignment vertical="center"/>
    </xf>
    <xf numFmtId="0" fontId="112" fillId="0" borderId="271" xfId="0" applyFont="1" applyBorder="1" applyAlignment="1">
      <alignment vertical="center"/>
    </xf>
    <xf numFmtId="0" fontId="112" fillId="0" borderId="202" xfId="0" applyFont="1" applyBorder="1" applyAlignment="1">
      <alignment vertical="center"/>
    </xf>
    <xf numFmtId="0" fontId="82" fillId="0" borderId="284" xfId="0" applyFont="1" applyBorder="1" applyAlignment="1">
      <alignment vertical="center"/>
    </xf>
    <xf numFmtId="0" fontId="82" fillId="0" borderId="194" xfId="0" applyFont="1" applyBorder="1" applyAlignment="1">
      <alignment vertical="center"/>
    </xf>
    <xf numFmtId="0" fontId="82" fillId="0" borderId="277" xfId="0" applyFont="1" applyBorder="1" applyAlignment="1">
      <alignment vertical="center"/>
    </xf>
    <xf numFmtId="0" fontId="82" fillId="0" borderId="117" xfId="0" applyFont="1" applyBorder="1" applyAlignment="1">
      <alignment vertical="center"/>
    </xf>
    <xf numFmtId="0" fontId="46" fillId="20" borderId="272" xfId="0" applyFont="1" applyFill="1" applyBorder="1" applyAlignment="1">
      <alignment horizontal="center" vertical="center"/>
    </xf>
    <xf numFmtId="0" fontId="46" fillId="20" borderId="273" xfId="0" applyFont="1" applyFill="1" applyBorder="1" applyAlignment="1">
      <alignment horizontal="center" vertical="center"/>
    </xf>
    <xf numFmtId="0" fontId="46" fillId="20" borderId="274" xfId="0" applyFont="1" applyFill="1" applyBorder="1" applyAlignment="1">
      <alignment horizontal="center" vertical="center"/>
    </xf>
    <xf numFmtId="0" fontId="46" fillId="20" borderId="275" xfId="0" applyFont="1" applyFill="1" applyBorder="1" applyAlignment="1">
      <alignment horizontal="center" vertical="center"/>
    </xf>
    <xf numFmtId="0" fontId="113" fillId="25" borderId="276" xfId="0" applyFont="1" applyFill="1" applyBorder="1" applyAlignment="1">
      <alignment vertical="center"/>
    </xf>
    <xf numFmtId="0" fontId="82" fillId="0" borderId="48" xfId="0" applyFont="1" applyBorder="1" applyAlignment="1">
      <alignment vertical="center"/>
    </xf>
    <xf numFmtId="0" fontId="82" fillId="0" borderId="190" xfId="0" applyFont="1" applyBorder="1" applyAlignment="1">
      <alignment vertical="center"/>
    </xf>
    <xf numFmtId="0" fontId="41" fillId="0" borderId="278" xfId="0" applyFont="1" applyBorder="1" applyAlignment="1">
      <alignment horizontal="right" vertical="center"/>
    </xf>
    <xf numFmtId="0" fontId="82" fillId="0" borderId="279" xfId="0" applyFont="1" applyBorder="1" applyAlignment="1">
      <alignment vertical="center"/>
    </xf>
    <xf numFmtId="0" fontId="41" fillId="0" borderId="280" xfId="0" applyFont="1" applyBorder="1" applyAlignment="1">
      <alignment horizontal="right" vertical="center"/>
    </xf>
    <xf numFmtId="0" fontId="46" fillId="20" borderId="285" xfId="0" applyFont="1" applyFill="1" applyBorder="1" applyAlignment="1">
      <alignment horizontal="center" vertical="center"/>
    </xf>
    <xf numFmtId="0" fontId="46" fillId="20" borderId="184" xfId="0" applyFont="1" applyFill="1" applyBorder="1" applyAlignment="1">
      <alignment horizontal="center" vertical="center"/>
    </xf>
    <xf numFmtId="0" fontId="46" fillId="20" borderId="286" xfId="0" applyFont="1" applyFill="1" applyBorder="1" applyAlignment="1">
      <alignment horizontal="center" vertical="center"/>
    </xf>
    <xf numFmtId="0" fontId="46" fillId="20" borderId="287" xfId="0" applyFont="1" applyFill="1" applyBorder="1" applyAlignment="1">
      <alignment horizontal="center" vertical="center"/>
    </xf>
    <xf numFmtId="0" fontId="113" fillId="25" borderId="288" xfId="0" applyFont="1" applyFill="1" applyBorder="1" applyAlignment="1">
      <alignment vertical="center"/>
    </xf>
    <xf numFmtId="0" fontId="113" fillId="25" borderId="77" xfId="0" applyFont="1" applyFill="1" applyBorder="1" applyAlignment="1">
      <alignment vertical="center"/>
    </xf>
    <xf numFmtId="0" fontId="113" fillId="25" borderId="0" xfId="0" applyFont="1" applyFill="1" applyBorder="1" applyAlignment="1">
      <alignment vertical="center"/>
    </xf>
    <xf numFmtId="0" fontId="113" fillId="25" borderId="167" xfId="0" applyFont="1" applyFill="1" applyBorder="1" applyAlignment="1">
      <alignment vertical="center"/>
    </xf>
    <xf numFmtId="0" fontId="41" fillId="20" borderId="285" xfId="0" applyFont="1" applyFill="1" applyBorder="1" applyAlignment="1">
      <alignment horizontal="center" vertical="center"/>
    </xf>
    <xf numFmtId="0" fontId="41" fillId="20" borderId="184" xfId="0" applyFont="1" applyFill="1" applyBorder="1" applyAlignment="1">
      <alignment horizontal="center" vertical="center"/>
    </xf>
    <xf numFmtId="0" fontId="41" fillId="20" borderId="286" xfId="0" applyFont="1" applyFill="1" applyBorder="1" applyAlignment="1">
      <alignment horizontal="center" vertical="center"/>
    </xf>
    <xf numFmtId="0" fontId="41" fillId="20" borderId="287" xfId="0" applyFont="1" applyFill="1" applyBorder="1" applyAlignment="1">
      <alignment horizontal="center" vertical="center"/>
    </xf>
    <xf numFmtId="0" fontId="0" fillId="25" borderId="288" xfId="0" applyFill="1" applyBorder="1" applyAlignment="1">
      <alignment vertical="center"/>
    </xf>
    <xf numFmtId="0" fontId="41" fillId="21" borderId="35" xfId="0" applyFont="1" applyFill="1" applyBorder="1" applyAlignment="1">
      <alignment horizontal="center"/>
    </xf>
    <xf numFmtId="0" fontId="41" fillId="21" borderId="38" xfId="0" applyFont="1" applyFill="1" applyBorder="1" applyAlignment="1">
      <alignment horizontal="center"/>
    </xf>
    <xf numFmtId="0" fontId="41" fillId="21" borderId="289" xfId="0" applyFont="1" applyFill="1" applyBorder="1" applyAlignment="1">
      <alignment horizontal="center"/>
    </xf>
    <xf numFmtId="0" fontId="41" fillId="21" borderId="36" xfId="0" applyFont="1" applyFill="1" applyBorder="1" applyAlignment="1">
      <alignment horizontal="center"/>
    </xf>
    <xf numFmtId="171" fontId="14" fillId="24" borderId="23" xfId="34" applyNumberFormat="1" applyFont="1" applyFill="1" applyBorder="1" applyAlignment="1">
      <alignment horizontal="center"/>
    </xf>
    <xf numFmtId="171" fontId="14" fillId="24" borderId="16" xfId="34" applyNumberFormat="1" applyFont="1" applyFill="1" applyBorder="1" applyAlignment="1">
      <alignment horizontal="center"/>
    </xf>
    <xf numFmtId="0" fontId="28" fillId="16" borderId="65" xfId="0" applyFont="1" applyFill="1" applyBorder="1" applyAlignment="1">
      <alignment horizontal="center" vertical="center" wrapText="1"/>
    </xf>
    <xf numFmtId="0" fontId="24" fillId="25" borderId="189" xfId="0" applyFont="1" applyFill="1" applyBorder="1" applyAlignment="1">
      <alignment horizontal="center" vertical="center"/>
    </xf>
    <xf numFmtId="0" fontId="83" fillId="25" borderId="290" xfId="0" applyFont="1" applyFill="1" applyBorder="1" applyAlignment="1">
      <alignment horizontal="center" vertical="center"/>
    </xf>
    <xf numFmtId="0" fontId="50" fillId="25" borderId="55" xfId="0" applyFont="1" applyFill="1" applyBorder="1" applyAlignment="1">
      <alignment horizontal="center" vertical="center"/>
    </xf>
    <xf numFmtId="0" fontId="0" fillId="25" borderId="291" xfId="0" applyFill="1" applyBorder="1" applyAlignment="1">
      <alignment vertical="center"/>
    </xf>
    <xf numFmtId="0" fontId="50" fillId="25" borderId="45" xfId="0" applyFont="1" applyFill="1" applyBorder="1" applyAlignment="1">
      <alignment horizontal="center" vertical="center"/>
    </xf>
    <xf numFmtId="0" fontId="0" fillId="25" borderId="172" xfId="0" applyFill="1" applyBorder="1" applyAlignment="1">
      <alignment vertical="center"/>
    </xf>
    <xf numFmtId="0" fontId="50" fillId="25" borderId="57" xfId="0" applyFont="1" applyFill="1" applyBorder="1" applyAlignment="1">
      <alignment horizontal="center" vertical="center"/>
    </xf>
    <xf numFmtId="0" fontId="0" fillId="25" borderId="292" xfId="0" applyFill="1" applyBorder="1" applyAlignment="1">
      <alignment vertical="center"/>
    </xf>
    <xf numFmtId="0" fontId="114" fillId="25" borderId="291" xfId="0" applyFont="1" applyFill="1" applyBorder="1" applyAlignment="1">
      <alignment horizontal="center" vertical="center"/>
    </xf>
    <xf numFmtId="0" fontId="29" fillId="25" borderId="224" xfId="0" applyFont="1" applyFill="1" applyBorder="1" applyAlignment="1">
      <alignment horizontal="center" vertical="center"/>
    </xf>
    <xf numFmtId="0" fontId="0" fillId="25" borderId="293" xfId="0" applyFill="1" applyBorder="1" applyAlignment="1">
      <alignment vertical="center"/>
    </xf>
    <xf numFmtId="0" fontId="25" fillId="25" borderId="191" xfId="0" applyFont="1" applyFill="1" applyBorder="1" applyAlignment="1">
      <alignment horizontal="center" vertical="center"/>
    </xf>
    <xf numFmtId="0" fontId="0" fillId="25" borderId="294" xfId="0" applyFill="1" applyBorder="1" applyAlignment="1">
      <alignment vertical="center"/>
    </xf>
    <xf numFmtId="0" fontId="0" fillId="0" borderId="25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25" borderId="58" xfId="0" applyFill="1" applyBorder="1" applyAlignment="1">
      <alignment vertical="center"/>
    </xf>
    <xf numFmtId="0" fontId="0" fillId="0" borderId="295" xfId="0" applyBorder="1" applyAlignment="1">
      <alignment vertical="center"/>
    </xf>
    <xf numFmtId="0" fontId="115" fillId="0" borderId="0" xfId="0" applyFont="1" applyBorder="1" applyAlignment="1">
      <alignment horizontal="center" vertical="center"/>
    </xf>
    <xf numFmtId="0" fontId="25" fillId="25" borderId="192" xfId="0" applyFont="1" applyFill="1" applyBorder="1" applyAlignment="1">
      <alignment horizontal="center" vertical="center"/>
    </xf>
    <xf numFmtId="0" fontId="0" fillId="25" borderId="296" xfId="0" applyFill="1" applyBorder="1" applyAlignment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25" fillId="29" borderId="267" xfId="0" applyFont="1" applyFill="1" applyBorder="1" applyAlignment="1">
      <alignment horizontal="center" vertical="center"/>
    </xf>
    <xf numFmtId="0" fontId="0" fillId="29" borderId="298" xfId="0" applyFill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69" fontId="25" fillId="0" borderId="61" xfId="0" applyNumberFormat="1" applyFont="1" applyBorder="1" applyAlignment="1">
      <alignment horizontal="center" vertical="center"/>
    </xf>
    <xf numFmtId="0" fontId="28" fillId="17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49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Excel Built-in Normal" xfId="30"/>
    <cellStyle name="Insatisfaisant 2" xfId="31"/>
    <cellStyle name="Milliers" xfId="32" builtinId="3"/>
    <cellStyle name="Monétaire 2" xfId="33"/>
    <cellStyle name="Monétaire 3" xfId="34"/>
    <cellStyle name="Neutre 2" xfId="35"/>
    <cellStyle name="Normal" xfId="0" builtinId="0"/>
    <cellStyle name="Normal 2" xfId="36"/>
    <cellStyle name="Normal 3" xfId="37"/>
    <cellStyle name="Pourcentage 2" xfId="38"/>
    <cellStyle name="Satisfaisant 2" xfId="39"/>
    <cellStyle name="Sortie 2" xfId="40"/>
    <cellStyle name="Texte explicatif 2" xfId="41"/>
    <cellStyle name="Titre 1" xfId="42"/>
    <cellStyle name="Titre 1 2" xfId="43"/>
    <cellStyle name="Titre 2 2" xfId="44"/>
    <cellStyle name="Titre 3 2" xfId="45"/>
    <cellStyle name="Titre 4 2" xfId="46"/>
    <cellStyle name="Total 2" xfId="47"/>
    <cellStyle name="Vérification 2" xfId="48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protection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protection locked="1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_PROFESSIONNEL/000_REGIE%20DE%20TERRITOIRE/02_R&#233;gie%20de%20Territoire%20Coeur%20de%20Savoie%20-%20Tableaux%20de%20bord/01_En%20cours/Tableaux%20de%20Bord/00_Tableau%20G&#233;n&#233;ral/Ratios%20activit&#233;s%2017%2007%202011%20_%20DL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laire"/>
      <sheetName val="potentiel d'activité-15-05-11"/>
      <sheetName val="Potentiel activité-17-06-11"/>
      <sheetName val="ratios "/>
      <sheetName val="ratio previsionnel"/>
      <sheetName val="planning RT"/>
      <sheetName val="Feuil1"/>
    </sheetNames>
    <sheetDataSet>
      <sheetData sheetId="0"/>
      <sheetData sheetId="1"/>
      <sheetData sheetId="2"/>
      <sheetData sheetId="3"/>
      <sheetData sheetId="4">
        <row r="24">
          <cell r="I24">
            <v>4022.8</v>
          </cell>
          <cell r="L24">
            <v>2570</v>
          </cell>
          <cell r="M24">
            <v>2910</v>
          </cell>
        </row>
      </sheetData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Tableau3" displayName="Tableau3" ref="A2:T15" totalsRowShown="0" headerRowDxfId="21" dataDxfId="20">
  <autoFilter ref="A2:T15"/>
  <tableColumns count="20">
    <tableColumn id="1" name="Numéro d'ordre" dataDxfId="19"/>
    <tableColumn id="22" name="Nom - Prénom" dataDxfId="18"/>
    <tableColumn id="2" name="Numéro SS" dataDxfId="17"/>
    <tableColumn id="21" name="Visite médicale" dataDxfId="16"/>
    <tableColumn id="3" name="Adresse" dataDxfId="15"/>
    <tableColumn id="4" name="Téléphone" dataDxfId="14"/>
    <tableColumn id="19" name="Situation familaile (marié, célibataire, divorcé, veuf, vie maritale, pacsé)" dataDxfId="13"/>
    <tableColumn id="5" name="prescripteur" dataDxfId="12"/>
    <tableColumn id="6" name="Allocataires minima sociaux_x000a_ (RSA, ASS, API, AAH)" dataDxfId="11"/>
    <tableColumn id="9" name="Statut (moins de 26 ans, RSA, TH, demandeur d'emploi &gt; 24 mois, senior, difficultés sociales)" dataDxfId="10"/>
    <tableColumn id="10" name="Niveau de Formation" dataDxfId="9"/>
    <tableColumn id="11" name="problématique de parcours" dataDxfId="8"/>
    <tableColumn id="12" name="Piste de formations" dataDxfId="7"/>
    <tableColumn id="13" name="Formations réalisées" dataDxfId="6"/>
    <tableColumn id="14" name="Date de naissance" dataDxfId="5"/>
    <tableColumn id="15" name="Age à l'entrée en contrat" dataDxfId="4"/>
    <tableColumn id="16" name="Date de début de contrat" dataDxfId="3"/>
    <tableColumn id="17" name="Date de renouvellemennt" dataDxfId="2"/>
    <tableColumn id="18" name="Date de fin de contrat" dataDxfId="1"/>
    <tableColumn id="20" name="Motif de fin de contrat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showGridLines="0" showRowColHeaders="0" topLeftCell="A6" zoomScale="93" zoomScaleNormal="93" workbookViewId="0">
      <selection activeCell="N26" sqref="N26"/>
    </sheetView>
  </sheetViews>
  <sheetFormatPr baseColWidth="10" defaultColWidth="11.5703125" defaultRowHeight="14.25"/>
  <cols>
    <col min="1" max="1" width="7.7109375" style="768" customWidth="1"/>
    <col min="2" max="2" width="11.5703125" style="768" customWidth="1"/>
    <col min="3" max="7" width="11.5703125" style="768"/>
    <col min="8" max="8" width="11.5703125" style="768" customWidth="1"/>
    <col min="9" max="12" width="11.5703125" style="768"/>
    <col min="13" max="13" width="7.7109375" style="768" customWidth="1"/>
    <col min="14" max="16384" width="11.5703125" style="768"/>
  </cols>
  <sheetData>
    <row r="1" spans="1:13" ht="28.9" customHeight="1">
      <c r="A1" s="1153" t="s">
        <v>492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  <c r="L1" s="1153"/>
      <c r="M1" s="1153"/>
    </row>
    <row r="2" spans="1:13" ht="7.9" customHeight="1" thickBot="1">
      <c r="A2" s="1133"/>
      <c r="B2" s="1133"/>
      <c r="C2" s="1133"/>
      <c r="D2" s="1133"/>
      <c r="E2" s="1133"/>
      <c r="F2" s="1133"/>
      <c r="G2" s="1133"/>
      <c r="H2" s="1133"/>
      <c r="I2" s="1133"/>
      <c r="J2" s="1133"/>
      <c r="K2" s="1133"/>
      <c r="L2" s="1133"/>
      <c r="M2" s="1133"/>
    </row>
    <row r="3" spans="1:13" ht="28.15" customHeight="1" thickTop="1" thickBot="1">
      <c r="A3" s="1154" t="s">
        <v>475</v>
      </c>
      <c r="B3" s="1155"/>
      <c r="C3" s="1155"/>
      <c r="D3" s="1155"/>
      <c r="E3" s="1155"/>
      <c r="F3" s="1155"/>
      <c r="G3" s="1155"/>
      <c r="H3" s="1155"/>
      <c r="I3" s="1155"/>
      <c r="J3" s="1155"/>
      <c r="K3" s="1155"/>
      <c r="L3" s="1155"/>
      <c r="M3" s="1156"/>
    </row>
    <row r="4" spans="1:13" ht="15" thickTop="1">
      <c r="A4" s="769"/>
      <c r="B4" s="770"/>
      <c r="C4" s="770"/>
      <c r="D4" s="770"/>
      <c r="E4" s="770"/>
      <c r="F4" s="770"/>
      <c r="G4" s="770"/>
      <c r="H4" s="770"/>
      <c r="I4" s="770"/>
      <c r="J4" s="770"/>
      <c r="K4" s="770"/>
      <c r="L4" s="770"/>
      <c r="M4" s="771"/>
    </row>
    <row r="5" spans="1:13">
      <c r="A5" s="772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4"/>
    </row>
    <row r="6" spans="1:13" ht="15" thickBot="1">
      <c r="A6" s="772"/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4"/>
    </row>
    <row r="7" spans="1:13" ht="15" thickTop="1">
      <c r="A7" s="772"/>
      <c r="B7" s="1139" t="s">
        <v>474</v>
      </c>
      <c r="C7" s="1140"/>
      <c r="D7" s="1145" t="s">
        <v>479</v>
      </c>
      <c r="E7" s="1146"/>
      <c r="F7" s="1146"/>
      <c r="G7" s="773"/>
      <c r="H7" s="1139" t="s">
        <v>50</v>
      </c>
      <c r="I7" s="1140"/>
      <c r="J7" s="1145" t="s">
        <v>480</v>
      </c>
      <c r="K7" s="1146"/>
      <c r="L7" s="1146"/>
      <c r="M7" s="774"/>
    </row>
    <row r="8" spans="1:13">
      <c r="A8" s="772"/>
      <c r="B8" s="1141"/>
      <c r="C8" s="1142"/>
      <c r="D8" s="1147" t="s">
        <v>476</v>
      </c>
      <c r="E8" s="1147"/>
      <c r="F8" s="1147"/>
      <c r="G8" s="773"/>
      <c r="H8" s="1141"/>
      <c r="I8" s="1142"/>
      <c r="J8" s="1147" t="s">
        <v>481</v>
      </c>
      <c r="K8" s="1147"/>
      <c r="L8" s="1147"/>
      <c r="M8" s="774"/>
    </row>
    <row r="9" spans="1:13">
      <c r="A9" s="772"/>
      <c r="B9" s="1141"/>
      <c r="C9" s="1142"/>
      <c r="D9" s="1147" t="s">
        <v>477</v>
      </c>
      <c r="E9" s="1147"/>
      <c r="F9" s="1147"/>
      <c r="G9" s="773"/>
      <c r="H9" s="1141"/>
      <c r="I9" s="1142"/>
      <c r="J9" s="1147" t="s">
        <v>482</v>
      </c>
      <c r="K9" s="1147"/>
      <c r="L9" s="1147"/>
      <c r="M9" s="774"/>
    </row>
    <row r="10" spans="1:13" ht="15" thickBot="1">
      <c r="A10" s="772"/>
      <c r="B10" s="1143"/>
      <c r="C10" s="1144"/>
      <c r="D10" s="1148" t="s">
        <v>478</v>
      </c>
      <c r="E10" s="1149"/>
      <c r="F10" s="1149"/>
      <c r="G10" s="773"/>
      <c r="H10" s="1143"/>
      <c r="I10" s="1144"/>
      <c r="J10" s="1148" t="s">
        <v>478</v>
      </c>
      <c r="K10" s="1149"/>
      <c r="L10" s="1149"/>
      <c r="M10" s="774"/>
    </row>
    <row r="11" spans="1:13" ht="15" thickTop="1">
      <c r="A11" s="772"/>
      <c r="B11" s="1157" t="s">
        <v>498</v>
      </c>
      <c r="C11" s="1157"/>
      <c r="D11" s="1157"/>
      <c r="E11" s="1157"/>
      <c r="F11" s="1157"/>
      <c r="G11" s="773"/>
      <c r="H11" s="1157" t="s">
        <v>497</v>
      </c>
      <c r="I11" s="1157"/>
      <c r="J11" s="1157"/>
      <c r="K11" s="1157"/>
      <c r="L11" s="1157"/>
      <c r="M11" s="774"/>
    </row>
    <row r="12" spans="1:13">
      <c r="A12" s="772"/>
      <c r="B12" s="1157" t="s">
        <v>488</v>
      </c>
      <c r="C12" s="1157"/>
      <c r="D12" s="1157"/>
      <c r="E12" s="1157"/>
      <c r="F12" s="1157"/>
      <c r="G12" s="773"/>
      <c r="H12" s="773"/>
      <c r="I12" s="773"/>
      <c r="J12" s="773"/>
      <c r="K12" s="773"/>
      <c r="L12" s="773"/>
      <c r="M12" s="774"/>
    </row>
    <row r="13" spans="1:13">
      <c r="A13" s="772"/>
      <c r="B13" s="775"/>
      <c r="C13" s="775"/>
      <c r="D13" s="775"/>
      <c r="E13" s="775"/>
      <c r="F13" s="775"/>
      <c r="G13" s="773"/>
      <c r="H13" s="773"/>
      <c r="I13" s="773"/>
      <c r="J13" s="773"/>
      <c r="K13" s="773"/>
      <c r="L13" s="773"/>
      <c r="M13" s="774"/>
    </row>
    <row r="14" spans="1:13">
      <c r="A14" s="772"/>
      <c r="B14" s="775"/>
      <c r="C14" s="775"/>
      <c r="D14" s="775"/>
      <c r="E14" s="775"/>
      <c r="F14" s="775"/>
      <c r="G14" s="773"/>
      <c r="H14" s="773"/>
      <c r="I14" s="773"/>
      <c r="J14" s="773"/>
      <c r="K14" s="773"/>
      <c r="L14" s="773"/>
      <c r="M14" s="774"/>
    </row>
    <row r="15" spans="1:13" ht="15" thickBot="1">
      <c r="A15" s="772"/>
      <c r="B15" s="773"/>
      <c r="C15" s="773"/>
      <c r="D15" s="773"/>
      <c r="E15" s="773"/>
      <c r="F15" s="773"/>
      <c r="G15" s="773"/>
      <c r="H15" s="773"/>
      <c r="I15" s="773"/>
      <c r="J15" s="773"/>
      <c r="K15" s="773"/>
      <c r="L15" s="773"/>
      <c r="M15" s="774"/>
    </row>
    <row r="16" spans="1:13" ht="15" thickTop="1">
      <c r="A16" s="772"/>
      <c r="B16" s="773"/>
      <c r="C16" s="1135" t="s">
        <v>493</v>
      </c>
      <c r="D16" s="1136"/>
      <c r="E16" s="773"/>
      <c r="F16" s="773"/>
      <c r="G16" s="1135" t="s">
        <v>484</v>
      </c>
      <c r="H16" s="1136"/>
      <c r="I16" s="773"/>
      <c r="J16" s="773"/>
      <c r="K16" s="1135" t="s">
        <v>483</v>
      </c>
      <c r="L16" s="1136"/>
      <c r="M16" s="774"/>
    </row>
    <row r="17" spans="1:13" ht="15" thickBot="1">
      <c r="A17" s="772"/>
      <c r="B17" s="773"/>
      <c r="C17" s="1137"/>
      <c r="D17" s="1138"/>
      <c r="E17" s="773"/>
      <c r="F17" s="773"/>
      <c r="G17" s="1137"/>
      <c r="H17" s="1138"/>
      <c r="I17" s="773"/>
      <c r="J17" s="773"/>
      <c r="K17" s="1137"/>
      <c r="L17" s="1138"/>
      <c r="M17" s="774"/>
    </row>
    <row r="18" spans="1:13" ht="15" thickTop="1">
      <c r="A18" s="772"/>
      <c r="B18" s="1129" t="s">
        <v>495</v>
      </c>
      <c r="C18" s="1129"/>
      <c r="D18" s="1129"/>
      <c r="E18" s="1129"/>
      <c r="F18" s="1129"/>
      <c r="G18" s="1129"/>
      <c r="H18" s="1129"/>
      <c r="I18" s="1129"/>
      <c r="J18" s="1129"/>
      <c r="K18" s="1129"/>
      <c r="L18" s="1129"/>
      <c r="M18" s="1131"/>
    </row>
    <row r="19" spans="1:13">
      <c r="A19" s="772"/>
      <c r="B19" s="1134"/>
      <c r="C19" s="1134"/>
      <c r="D19" s="1134"/>
      <c r="E19" s="1134"/>
      <c r="F19" s="1130"/>
      <c r="G19" s="1130"/>
      <c r="H19" s="1130"/>
      <c r="I19" s="1130"/>
      <c r="J19" s="1130"/>
      <c r="K19" s="1130"/>
      <c r="L19" s="1130"/>
      <c r="M19" s="1132"/>
    </row>
    <row r="20" spans="1:13" ht="15" thickBot="1">
      <c r="A20" s="772"/>
      <c r="B20" s="773"/>
      <c r="C20" s="773"/>
      <c r="D20" s="773"/>
      <c r="E20" s="773"/>
      <c r="F20" s="773"/>
      <c r="G20" s="773"/>
      <c r="H20" s="773"/>
      <c r="I20" s="773"/>
      <c r="J20" s="773"/>
      <c r="K20" s="773"/>
      <c r="L20" s="773"/>
      <c r="M20" s="774"/>
    </row>
    <row r="21" spans="1:13" ht="15" thickTop="1">
      <c r="A21" s="772"/>
      <c r="B21" s="773"/>
      <c r="C21" s="1135" t="s">
        <v>485</v>
      </c>
      <c r="D21" s="1136"/>
      <c r="E21" s="773"/>
      <c r="F21" s="773"/>
      <c r="G21" s="1135" t="s">
        <v>486</v>
      </c>
      <c r="H21" s="1136"/>
      <c r="I21" s="773"/>
      <c r="J21" s="773"/>
      <c r="K21" s="1135" t="s">
        <v>487</v>
      </c>
      <c r="L21" s="1136"/>
      <c r="M21" s="774"/>
    </row>
    <row r="22" spans="1:13" ht="15" thickBot="1">
      <c r="A22" s="772"/>
      <c r="B22" s="773"/>
      <c r="C22" s="1137"/>
      <c r="D22" s="1138"/>
      <c r="E22" s="773"/>
      <c r="F22" s="773"/>
      <c r="G22" s="1137"/>
      <c r="H22" s="1138"/>
      <c r="I22" s="773"/>
      <c r="J22" s="773"/>
      <c r="K22" s="1137"/>
      <c r="L22" s="1138"/>
      <c r="M22" s="774"/>
    </row>
    <row r="23" spans="1:13" ht="15" thickTop="1">
      <c r="A23" s="772"/>
      <c r="B23" s="1129"/>
      <c r="C23" s="1129"/>
      <c r="D23" s="1129"/>
      <c r="E23" s="1129"/>
      <c r="F23" s="1129"/>
      <c r="G23" s="1129"/>
      <c r="H23" s="1129"/>
      <c r="I23" s="1129"/>
      <c r="J23" s="1129" t="s">
        <v>496</v>
      </c>
      <c r="K23" s="1129"/>
      <c r="L23" s="1129"/>
      <c r="M23" s="1131"/>
    </row>
    <row r="24" spans="1:13">
      <c r="A24" s="772"/>
      <c r="B24" s="1130"/>
      <c r="C24" s="1130"/>
      <c r="D24" s="1130"/>
      <c r="E24" s="1130"/>
      <c r="F24" s="1130"/>
      <c r="G24" s="1130"/>
      <c r="H24" s="1130"/>
      <c r="I24" s="1130"/>
      <c r="J24" s="1130"/>
      <c r="K24" s="1130"/>
      <c r="L24" s="1130"/>
      <c r="M24" s="1132"/>
    </row>
    <row r="25" spans="1:13" ht="15" thickBot="1">
      <c r="A25" s="772"/>
      <c r="B25" s="773"/>
      <c r="C25" s="773"/>
      <c r="D25" s="773"/>
      <c r="E25" s="773"/>
      <c r="F25" s="773"/>
      <c r="G25" s="773"/>
      <c r="H25" s="773"/>
      <c r="I25" s="773"/>
      <c r="J25" s="773"/>
      <c r="K25" s="773"/>
      <c r="L25" s="773"/>
      <c r="M25" s="774"/>
    </row>
    <row r="26" spans="1:13" ht="15" thickTop="1">
      <c r="A26" s="772"/>
      <c r="B26" s="773"/>
      <c r="C26" s="1135" t="s">
        <v>494</v>
      </c>
      <c r="D26" s="1136"/>
      <c r="E26" s="773"/>
      <c r="F26" s="773"/>
      <c r="G26" s="1135" t="s">
        <v>489</v>
      </c>
      <c r="H26" s="1136"/>
      <c r="I26" s="773"/>
      <c r="J26" s="773"/>
      <c r="K26" s="1135" t="s">
        <v>491</v>
      </c>
      <c r="L26" s="1136"/>
      <c r="M26" s="774"/>
    </row>
    <row r="27" spans="1:13" ht="15" thickBot="1">
      <c r="A27" s="772"/>
      <c r="B27" s="773"/>
      <c r="C27" s="1137"/>
      <c r="D27" s="1138"/>
      <c r="E27" s="773"/>
      <c r="F27" s="773"/>
      <c r="G27" s="1137"/>
      <c r="H27" s="1138"/>
      <c r="I27" s="773"/>
      <c r="J27" s="773"/>
      <c r="K27" s="1137"/>
      <c r="L27" s="1138"/>
      <c r="M27" s="774"/>
    </row>
    <row r="28" spans="1:13" ht="15" thickTop="1">
      <c r="A28" s="772"/>
      <c r="B28" s="1129"/>
      <c r="C28" s="1129"/>
      <c r="D28" s="1129"/>
      <c r="E28" s="1129"/>
      <c r="F28" s="1129" t="s">
        <v>490</v>
      </c>
      <c r="G28" s="1129"/>
      <c r="H28" s="1129"/>
      <c r="I28" s="1129"/>
      <c r="J28" s="1129"/>
      <c r="K28" s="1129"/>
      <c r="L28" s="1129"/>
      <c r="M28" s="1131"/>
    </row>
    <row r="29" spans="1:13">
      <c r="A29" s="772"/>
      <c r="B29" s="1130"/>
      <c r="C29" s="1130"/>
      <c r="D29" s="1130"/>
      <c r="E29" s="1130"/>
      <c r="F29" s="1134"/>
      <c r="G29" s="1134"/>
      <c r="H29" s="1134"/>
      <c r="I29" s="1134"/>
      <c r="J29" s="1130"/>
      <c r="K29" s="1130"/>
      <c r="L29" s="1130"/>
      <c r="M29" s="1132"/>
    </row>
    <row r="30" spans="1:13">
      <c r="A30" s="772"/>
      <c r="B30" s="773"/>
      <c r="C30" s="773"/>
      <c r="D30" s="773"/>
      <c r="E30" s="773"/>
      <c r="F30" s="773"/>
      <c r="G30" s="773"/>
      <c r="H30" s="773"/>
      <c r="I30" s="773"/>
      <c r="J30" s="773"/>
      <c r="K30" s="773"/>
      <c r="L30" s="773"/>
      <c r="M30" s="774"/>
    </row>
    <row r="31" spans="1:13" ht="15.75" thickBot="1">
      <c r="A31" s="1150" t="s">
        <v>499</v>
      </c>
      <c r="B31" s="1151"/>
      <c r="C31" s="1151"/>
      <c r="D31" s="1151"/>
      <c r="E31" s="1151"/>
      <c r="F31" s="1151"/>
      <c r="G31" s="1151"/>
      <c r="H31" s="1151"/>
      <c r="I31" s="1151"/>
      <c r="J31" s="1151"/>
      <c r="K31" s="1151"/>
      <c r="L31" s="1151"/>
      <c r="M31" s="1152"/>
    </row>
    <row r="32" spans="1:13" ht="15" thickTop="1"/>
  </sheetData>
  <sheetProtection password="CDAE" sheet="1" objects="1" scenarios="1" selectLockedCells="1" selectUnlockedCells="1"/>
  <mergeCells count="35">
    <mergeCell ref="J8:L8"/>
    <mergeCell ref="J9:L9"/>
    <mergeCell ref="J10:L10"/>
    <mergeCell ref="D10:F10"/>
    <mergeCell ref="F28:I29"/>
    <mergeCell ref="F18:I19"/>
    <mergeCell ref="A31:M31"/>
    <mergeCell ref="A1:M1"/>
    <mergeCell ref="A3:M3"/>
    <mergeCell ref="B11:F11"/>
    <mergeCell ref="H11:L11"/>
    <mergeCell ref="B12:F12"/>
    <mergeCell ref="C21:D22"/>
    <mergeCell ref="G21:H22"/>
    <mergeCell ref="K21:L22"/>
    <mergeCell ref="C26:D27"/>
    <mergeCell ref="G26:H27"/>
    <mergeCell ref="K26:L27"/>
    <mergeCell ref="J7:L7"/>
    <mergeCell ref="F23:I24"/>
    <mergeCell ref="J23:M24"/>
    <mergeCell ref="J28:M29"/>
    <mergeCell ref="A2:M2"/>
    <mergeCell ref="J18:M19"/>
    <mergeCell ref="B18:E19"/>
    <mergeCell ref="B23:E24"/>
    <mergeCell ref="B28:E29"/>
    <mergeCell ref="C16:D17"/>
    <mergeCell ref="G16:H17"/>
    <mergeCell ref="K16:L17"/>
    <mergeCell ref="B7:C10"/>
    <mergeCell ref="H7:I10"/>
    <mergeCell ref="D7:F7"/>
    <mergeCell ref="D8:F8"/>
    <mergeCell ref="D9:F9"/>
  </mergeCells>
  <pageMargins left="3.937007874015748E-2" right="3.937007874015748E-2" top="3.937007874015748E-2" bottom="3.937007874015748E-2" header="0" footer="0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H45"/>
  <sheetViews>
    <sheetView showGridLines="0" showRowColHeaders="0" workbookViewId="0">
      <selection activeCell="K12" sqref="K12"/>
    </sheetView>
  </sheetViews>
  <sheetFormatPr baseColWidth="10" defaultColWidth="11.5703125" defaultRowHeight="15"/>
  <cols>
    <col min="1" max="1" width="1.7109375" style="140" customWidth="1"/>
    <col min="2" max="2" width="4" style="140" customWidth="1"/>
    <col min="3" max="3" width="29.5703125" style="140" customWidth="1"/>
    <col min="4" max="4" width="12.140625" style="161" customWidth="1"/>
    <col min="5" max="5" width="7.140625" style="140" customWidth="1"/>
    <col min="6" max="6" width="26.7109375" style="140" customWidth="1"/>
    <col min="7" max="7" width="10" style="161" customWidth="1"/>
    <col min="8" max="8" width="5.85546875" style="140" customWidth="1"/>
    <col min="9" max="16384" width="11.5703125" style="140"/>
  </cols>
  <sheetData>
    <row r="1" spans="2:8" ht="15.75" thickTop="1">
      <c r="B1" s="1217" t="s">
        <v>163</v>
      </c>
      <c r="C1" s="1219"/>
      <c r="D1" s="1219"/>
      <c r="E1" s="1219"/>
      <c r="F1" s="1219"/>
      <c r="G1" s="1219"/>
      <c r="H1" s="1220"/>
    </row>
    <row r="2" spans="2:8" ht="15.75" thickBot="1">
      <c r="B2" s="1245"/>
      <c r="C2" s="1246"/>
      <c r="D2" s="1246"/>
      <c r="E2" s="1246"/>
      <c r="F2" s="1246"/>
      <c r="G2" s="1246"/>
      <c r="H2" s="1247"/>
    </row>
    <row r="3" spans="2:8" ht="16.5" thickBot="1">
      <c r="B3" s="1248" t="s">
        <v>125</v>
      </c>
      <c r="C3" s="1249"/>
      <c r="D3" s="1249"/>
      <c r="E3" s="1250" t="s">
        <v>126</v>
      </c>
      <c r="F3" s="1251"/>
      <c r="G3" s="1251"/>
      <c r="H3" s="1252"/>
    </row>
    <row r="4" spans="2:8" ht="39" thickBot="1">
      <c r="B4" s="211" t="s">
        <v>66</v>
      </c>
      <c r="C4" s="212" t="s">
        <v>67</v>
      </c>
      <c r="D4" s="278" t="s">
        <v>68</v>
      </c>
      <c r="E4" s="214" t="s">
        <v>66</v>
      </c>
      <c r="F4" s="212" t="s">
        <v>67</v>
      </c>
      <c r="G4" s="279" t="s">
        <v>68</v>
      </c>
      <c r="H4" s="216" t="s">
        <v>69</v>
      </c>
    </row>
    <row r="5" spans="2:8">
      <c r="B5" s="237">
        <v>60</v>
      </c>
      <c r="C5" s="217" t="s">
        <v>70</v>
      </c>
      <c r="D5" s="257">
        <f>SUM(D6:D9)</f>
        <v>17023.8</v>
      </c>
      <c r="E5" s="218">
        <v>70</v>
      </c>
      <c r="F5" s="217" t="s">
        <v>71</v>
      </c>
      <c r="G5" s="257">
        <f>G6+G7</f>
        <v>117749.8</v>
      </c>
      <c r="H5" s="309">
        <f>G5/G44</f>
        <v>0.47731928924503569</v>
      </c>
    </row>
    <row r="6" spans="2:8" ht="25.5">
      <c r="B6" s="238"/>
      <c r="C6" s="219" t="s">
        <v>72</v>
      </c>
      <c r="D6" s="267">
        <f>500*2*12*1.02</f>
        <v>12240</v>
      </c>
      <c r="E6" s="220"/>
      <c r="F6" s="219" t="s">
        <v>73</v>
      </c>
      <c r="G6" s="258">
        <v>104035</v>
      </c>
      <c r="H6" s="310"/>
    </row>
    <row r="7" spans="2:8">
      <c r="B7" s="238"/>
      <c r="C7" s="219" t="s">
        <v>74</v>
      </c>
      <c r="D7" s="267">
        <f>830*1.02</f>
        <v>846.6</v>
      </c>
      <c r="E7" s="220"/>
      <c r="F7" s="219" t="s">
        <v>75</v>
      </c>
      <c r="G7" s="258">
        <f>4156*3*1.1</f>
        <v>13714.800000000001</v>
      </c>
      <c r="H7" s="310"/>
    </row>
    <row r="8" spans="2:8">
      <c r="B8" s="238"/>
      <c r="C8" s="219" t="s">
        <v>76</v>
      </c>
      <c r="D8" s="267">
        <f>550*2*1.4*1.02</f>
        <v>1570.8</v>
      </c>
      <c r="E8" s="220"/>
      <c r="F8" s="219"/>
      <c r="G8" s="258"/>
      <c r="H8" s="310"/>
    </row>
    <row r="9" spans="2:8" ht="15.75" thickBot="1">
      <c r="B9" s="239"/>
      <c r="C9" s="221" t="s">
        <v>77</v>
      </c>
      <c r="D9" s="268">
        <f>2320*1.02</f>
        <v>2366.4</v>
      </c>
      <c r="E9" s="222"/>
      <c r="F9" s="221"/>
      <c r="G9" s="259"/>
      <c r="H9" s="311"/>
    </row>
    <row r="10" spans="2:8">
      <c r="B10" s="237">
        <v>61</v>
      </c>
      <c r="C10" s="217" t="s">
        <v>78</v>
      </c>
      <c r="D10" s="269">
        <f>SUM(D11:D16)</f>
        <v>13026.820000000002</v>
      </c>
      <c r="E10" s="218"/>
      <c r="F10" s="223"/>
      <c r="G10" s="260"/>
      <c r="H10" s="312"/>
    </row>
    <row r="11" spans="2:8">
      <c r="B11" s="238"/>
      <c r="C11" s="219" t="s">
        <v>79</v>
      </c>
      <c r="D11" s="267">
        <v>1000</v>
      </c>
      <c r="E11" s="220"/>
      <c r="F11" s="219"/>
      <c r="G11" s="258"/>
      <c r="H11" s="310"/>
    </row>
    <row r="12" spans="2:8">
      <c r="B12" s="238"/>
      <c r="C12" s="219" t="s">
        <v>80</v>
      </c>
      <c r="D12" s="267">
        <f>7111*1.02</f>
        <v>7253.22</v>
      </c>
      <c r="E12" s="220"/>
      <c r="F12" s="224"/>
      <c r="G12" s="261"/>
      <c r="H12" s="310"/>
    </row>
    <row r="13" spans="2:8">
      <c r="B13" s="238"/>
      <c r="C13" s="219" t="s">
        <v>81</v>
      </c>
      <c r="D13" s="267">
        <f>40*12*1.02</f>
        <v>489.6</v>
      </c>
      <c r="E13" s="220"/>
      <c r="F13" s="219"/>
      <c r="G13" s="258"/>
      <c r="H13" s="310"/>
    </row>
    <row r="14" spans="2:8">
      <c r="B14" s="238"/>
      <c r="C14" s="219" t="s">
        <v>82</v>
      </c>
      <c r="D14" s="267">
        <f>2400*1.02</f>
        <v>2448</v>
      </c>
      <c r="E14" s="220"/>
      <c r="F14" s="285"/>
      <c r="G14" s="258"/>
      <c r="H14" s="310"/>
    </row>
    <row r="15" spans="2:8">
      <c r="B15" s="238"/>
      <c r="C15" s="219" t="s">
        <v>83</v>
      </c>
      <c r="D15" s="267">
        <f>1500*1.02</f>
        <v>1530</v>
      </c>
      <c r="E15" s="220"/>
      <c r="F15" s="219"/>
      <c r="G15" s="258"/>
      <c r="H15" s="310"/>
    </row>
    <row r="16" spans="2:8" ht="15.75" thickBot="1">
      <c r="B16" s="239"/>
      <c r="C16" s="221" t="s">
        <v>84</v>
      </c>
      <c r="D16" s="268">
        <f>300*1.02</f>
        <v>306</v>
      </c>
      <c r="E16" s="222"/>
      <c r="F16" s="221"/>
      <c r="G16" s="259"/>
      <c r="H16" s="311"/>
    </row>
    <row r="17" spans="2:8">
      <c r="B17" s="238">
        <v>62</v>
      </c>
      <c r="C17" s="224" t="s">
        <v>85</v>
      </c>
      <c r="D17" s="270">
        <f>SUM(D18:D26)</f>
        <v>9547.84</v>
      </c>
      <c r="E17" s="218"/>
      <c r="F17" s="223"/>
      <c r="G17" s="260"/>
      <c r="H17" s="312"/>
    </row>
    <row r="18" spans="2:8">
      <c r="B18" s="238"/>
      <c r="C18" s="219" t="s">
        <v>86</v>
      </c>
      <c r="D18" s="267">
        <f>2352*1.02</f>
        <v>2399.04</v>
      </c>
      <c r="E18" s="220"/>
      <c r="F18" s="231"/>
      <c r="G18" s="258"/>
      <c r="H18" s="310"/>
    </row>
    <row r="19" spans="2:8">
      <c r="B19" s="238"/>
      <c r="C19" s="219" t="s">
        <v>157</v>
      </c>
      <c r="D19" s="267">
        <f>1500*1.02</f>
        <v>1530</v>
      </c>
      <c r="E19" s="220"/>
      <c r="F19" s="219"/>
      <c r="G19" s="258"/>
      <c r="H19" s="310"/>
    </row>
    <row r="20" spans="2:8">
      <c r="B20" s="238"/>
      <c r="C20" s="219" t="s">
        <v>158</v>
      </c>
      <c r="D20" s="267">
        <f>700*1.02</f>
        <v>714</v>
      </c>
      <c r="E20" s="220"/>
      <c r="F20" s="219"/>
      <c r="G20" s="258"/>
      <c r="H20" s="310"/>
    </row>
    <row r="21" spans="2:8">
      <c r="B21" s="238"/>
      <c r="C21" s="219" t="s">
        <v>87</v>
      </c>
      <c r="D21" s="267">
        <f>700*1.02</f>
        <v>714</v>
      </c>
      <c r="E21" s="220"/>
      <c r="F21" s="286"/>
      <c r="G21" s="287"/>
      <c r="H21" s="310"/>
    </row>
    <row r="22" spans="2:8">
      <c r="B22" s="238"/>
      <c r="C22" s="219" t="s">
        <v>88</v>
      </c>
      <c r="D22" s="267">
        <f>240*1.02</f>
        <v>244.8</v>
      </c>
      <c r="E22" s="220"/>
      <c r="F22" s="286"/>
      <c r="G22" s="287"/>
      <c r="H22" s="310"/>
    </row>
    <row r="23" spans="2:8">
      <c r="B23" s="238"/>
      <c r="C23" s="219" t="s">
        <v>89</v>
      </c>
      <c r="D23" s="267">
        <f>720*1.02</f>
        <v>734.4</v>
      </c>
      <c r="E23" s="220"/>
      <c r="F23" s="219"/>
      <c r="G23" s="258"/>
      <c r="H23" s="310"/>
    </row>
    <row r="24" spans="2:8">
      <c r="B24" s="238"/>
      <c r="C24" s="219" t="s">
        <v>90</v>
      </c>
      <c r="D24" s="267">
        <f>1400*1.02</f>
        <v>1428</v>
      </c>
      <c r="E24" s="220"/>
      <c r="F24" s="219"/>
      <c r="G24" s="258"/>
      <c r="H24" s="310"/>
    </row>
    <row r="25" spans="2:8">
      <c r="B25" s="240">
        <v>628</v>
      </c>
      <c r="C25" s="219" t="s">
        <v>159</v>
      </c>
      <c r="D25" s="267">
        <v>1600</v>
      </c>
      <c r="E25" s="220"/>
      <c r="F25" s="219"/>
      <c r="G25" s="258"/>
      <c r="H25" s="310"/>
    </row>
    <row r="26" spans="2:8" ht="15.75" thickBot="1">
      <c r="B26" s="241"/>
      <c r="C26" s="225" t="s">
        <v>92</v>
      </c>
      <c r="D26" s="271">
        <f>180*1.02</f>
        <v>183.6</v>
      </c>
      <c r="E26" s="222"/>
      <c r="F26" s="221"/>
      <c r="G26" s="259"/>
      <c r="H26" s="313"/>
    </row>
    <row r="27" spans="2:8" ht="15.75" thickBot="1">
      <c r="B27" s="242">
        <v>63</v>
      </c>
      <c r="C27" s="226" t="s">
        <v>93</v>
      </c>
      <c r="D27" s="272">
        <v>1501</v>
      </c>
      <c r="E27" s="227"/>
      <c r="F27" s="228"/>
      <c r="G27" s="262"/>
      <c r="H27" s="314"/>
    </row>
    <row r="28" spans="2:8">
      <c r="B28" s="237">
        <v>64</v>
      </c>
      <c r="C28" s="217" t="s">
        <v>94</v>
      </c>
      <c r="D28" s="273">
        <f>SUM(D29:D36)</f>
        <v>200590</v>
      </c>
      <c r="E28" s="218">
        <v>74</v>
      </c>
      <c r="F28" s="217" t="s">
        <v>95</v>
      </c>
      <c r="G28" s="257">
        <f>SUM(G29:G37)</f>
        <v>126140</v>
      </c>
      <c r="H28" s="315">
        <f>G28/G44</f>
        <v>0.51133042387646355</v>
      </c>
    </row>
    <row r="29" spans="2:8" ht="25.5">
      <c r="B29" s="238"/>
      <c r="C29" s="219" t="s">
        <v>96</v>
      </c>
      <c r="D29" s="274">
        <f>14000*6</f>
        <v>84000</v>
      </c>
      <c r="E29" s="220"/>
      <c r="F29" s="229" t="s">
        <v>97</v>
      </c>
      <c r="G29" s="263">
        <v>600</v>
      </c>
      <c r="H29" s="310"/>
    </row>
    <row r="30" spans="2:8" ht="25.5">
      <c r="B30" s="238"/>
      <c r="C30" s="219" t="s">
        <v>98</v>
      </c>
      <c r="D30" s="274">
        <v>36540</v>
      </c>
      <c r="E30" s="220"/>
      <c r="F30" s="230" t="s">
        <v>160</v>
      </c>
      <c r="G30" s="263">
        <v>15000</v>
      </c>
      <c r="H30" s="310"/>
    </row>
    <row r="31" spans="2:8" ht="25.5">
      <c r="B31" s="238"/>
      <c r="C31" s="219" t="s">
        <v>161</v>
      </c>
      <c r="D31" s="274">
        <f>4700*3</f>
        <v>14100</v>
      </c>
      <c r="E31" s="220"/>
      <c r="F31" s="229" t="s">
        <v>99</v>
      </c>
      <c r="G31" s="263">
        <v>1814</v>
      </c>
      <c r="H31" s="310"/>
    </row>
    <row r="32" spans="2:8" ht="25.5">
      <c r="B32" s="238"/>
      <c r="C32" s="219" t="s">
        <v>100</v>
      </c>
      <c r="D32" s="274">
        <v>38477</v>
      </c>
      <c r="E32" s="220"/>
      <c r="F32" s="230" t="s">
        <v>101</v>
      </c>
      <c r="G32" s="263"/>
      <c r="H32" s="310"/>
    </row>
    <row r="33" spans="2:8">
      <c r="B33" s="238"/>
      <c r="C33" s="231" t="s">
        <v>102</v>
      </c>
      <c r="D33" s="274">
        <v>21900</v>
      </c>
      <c r="E33" s="220"/>
      <c r="F33" s="230" t="s">
        <v>103</v>
      </c>
      <c r="G33" s="263">
        <v>76680</v>
      </c>
      <c r="H33" s="310"/>
    </row>
    <row r="34" spans="2:8">
      <c r="B34" s="238"/>
      <c r="C34" s="219" t="s">
        <v>104</v>
      </c>
      <c r="D34" s="274">
        <v>825</v>
      </c>
      <c r="E34" s="220"/>
      <c r="F34" s="230" t="s">
        <v>105</v>
      </c>
      <c r="G34" s="263">
        <f>220*12*3+1000</f>
        <v>8920</v>
      </c>
      <c r="H34" s="310"/>
    </row>
    <row r="35" spans="2:8">
      <c r="B35" s="238"/>
      <c r="C35" s="219" t="s">
        <v>106</v>
      </c>
      <c r="D35" s="274">
        <v>4314</v>
      </c>
      <c r="E35" s="220"/>
      <c r="F35" s="230" t="s">
        <v>164</v>
      </c>
      <c r="G35" s="263">
        <v>5000</v>
      </c>
      <c r="H35" s="310"/>
    </row>
    <row r="36" spans="2:8" ht="25.5">
      <c r="B36" s="238"/>
      <c r="C36" s="219" t="s">
        <v>108</v>
      </c>
      <c r="D36" s="274">
        <v>434</v>
      </c>
      <c r="E36" s="220"/>
      <c r="F36" s="230" t="s">
        <v>109</v>
      </c>
      <c r="G36" s="263">
        <f>3042*3</f>
        <v>9126</v>
      </c>
      <c r="H36" s="310"/>
    </row>
    <row r="37" spans="2:8" ht="15.75" thickBot="1">
      <c r="B37" s="239"/>
      <c r="C37" s="221"/>
      <c r="D37" s="275"/>
      <c r="E37" s="222"/>
      <c r="F37" s="232" t="s">
        <v>165</v>
      </c>
      <c r="G37" s="264">
        <v>9000</v>
      </c>
      <c r="H37" s="311"/>
    </row>
    <row r="38" spans="2:8">
      <c r="B38" s="243">
        <v>65</v>
      </c>
      <c r="C38" s="233" t="s">
        <v>111</v>
      </c>
      <c r="D38" s="276"/>
      <c r="E38" s="234">
        <v>75</v>
      </c>
      <c r="F38" s="233" t="s">
        <v>112</v>
      </c>
      <c r="G38" s="265">
        <f>SUM(G39:G40)</f>
        <v>2800</v>
      </c>
      <c r="H38" s="315">
        <f>G38/G44</f>
        <v>1.1350286878500855E-2</v>
      </c>
    </row>
    <row r="39" spans="2:8">
      <c r="B39" s="238"/>
      <c r="C39" s="219"/>
      <c r="D39" s="258"/>
      <c r="E39" s="220"/>
      <c r="F39" s="219" t="s">
        <v>113</v>
      </c>
      <c r="G39" s="258">
        <v>300</v>
      </c>
      <c r="H39" s="310"/>
    </row>
    <row r="40" spans="2:8">
      <c r="B40" s="238">
        <v>66</v>
      </c>
      <c r="C40" s="224" t="s">
        <v>114</v>
      </c>
      <c r="D40" s="270">
        <f>SUM(D41)</f>
        <v>5000</v>
      </c>
      <c r="E40" s="220"/>
      <c r="F40" s="219" t="s">
        <v>115</v>
      </c>
      <c r="G40" s="258">
        <v>2500</v>
      </c>
      <c r="H40" s="310"/>
    </row>
    <row r="41" spans="2:8">
      <c r="B41" s="238"/>
      <c r="C41" s="219" t="s">
        <v>116</v>
      </c>
      <c r="D41" s="267">
        <v>5000</v>
      </c>
      <c r="E41" s="316"/>
      <c r="F41" s="286"/>
      <c r="G41" s="287"/>
      <c r="H41" s="310"/>
    </row>
    <row r="42" spans="2:8">
      <c r="B42" s="238"/>
      <c r="C42" s="219" t="s">
        <v>117</v>
      </c>
      <c r="D42" s="267"/>
      <c r="E42" s="220"/>
      <c r="F42" s="286"/>
      <c r="G42" s="287"/>
      <c r="H42" s="310"/>
    </row>
    <row r="43" spans="2:8" ht="15.75" thickBot="1">
      <c r="B43" s="317"/>
      <c r="C43" s="292"/>
      <c r="D43" s="293"/>
      <c r="E43" s="318"/>
      <c r="F43" s="295"/>
      <c r="G43" s="296"/>
      <c r="H43" s="310"/>
    </row>
    <row r="44" spans="2:8" ht="15.75" thickBot="1">
      <c r="B44" s="244"/>
      <c r="C44" s="245" t="s">
        <v>118</v>
      </c>
      <c r="D44" s="277">
        <f>D5+D10+D17+D27+D28+D38+D40+1</f>
        <v>246690.46000000002</v>
      </c>
      <c r="E44" s="319"/>
      <c r="F44" s="245" t="s">
        <v>119</v>
      </c>
      <c r="G44" s="266">
        <f>G5+G28+G38</f>
        <v>246689.8</v>
      </c>
      <c r="H44" s="320"/>
    </row>
    <row r="45" spans="2:8" ht="15.75" thickTop="1"/>
  </sheetData>
  <mergeCells count="3">
    <mergeCell ref="B3:D3"/>
    <mergeCell ref="B1:H2"/>
    <mergeCell ref="E3:H3"/>
  </mergeCells>
  <pageMargins left="3.937007874015748E-2" right="3.937007874015748E-2" top="3.937007874015748E-2" bottom="3.937007874015748E-2" header="0" footer="0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8"/>
  <sheetViews>
    <sheetView showGridLines="0" showRowColHeaders="0" workbookViewId="0">
      <selection activeCell="K10" sqref="K10"/>
    </sheetView>
  </sheetViews>
  <sheetFormatPr baseColWidth="10" defaultColWidth="11.5703125" defaultRowHeight="15"/>
  <cols>
    <col min="1" max="1" width="1.7109375" style="69" customWidth="1"/>
    <col min="2" max="2" width="8.42578125" style="69" customWidth="1"/>
    <col min="3" max="3" width="34.5703125" style="69" customWidth="1"/>
    <col min="4" max="4" width="12" style="121" customWidth="1"/>
    <col min="5" max="5" width="5.140625" style="69" customWidth="1"/>
    <col min="6" max="6" width="8.140625" style="69" customWidth="1"/>
    <col min="7" max="7" width="26.140625" style="121" customWidth="1"/>
    <col min="8" max="8" width="9.28515625" style="69" customWidth="1"/>
    <col min="9" max="9" width="5.7109375" style="69" customWidth="1"/>
    <col min="10" max="16384" width="11.5703125" style="69"/>
  </cols>
  <sheetData>
    <row r="1" spans="1:9" ht="15.75">
      <c r="A1" s="235"/>
      <c r="B1" s="321" t="s">
        <v>166</v>
      </c>
      <c r="C1" s="322"/>
      <c r="D1" s="323"/>
      <c r="E1" s="235"/>
      <c r="F1" s="235"/>
      <c r="G1" s="323"/>
      <c r="H1" s="235"/>
      <c r="I1" s="235"/>
    </row>
    <row r="2" spans="1:9" ht="15.75" thickBot="1">
      <c r="E2" s="121"/>
      <c r="G2" s="69"/>
      <c r="H2" s="121"/>
      <c r="I2" s="121"/>
    </row>
    <row r="3" spans="1:9" ht="15.75">
      <c r="B3" s="1253" t="s">
        <v>64</v>
      </c>
      <c r="C3" s="1254"/>
      <c r="D3" s="1255"/>
      <c r="E3" s="324" t="s">
        <v>69</v>
      </c>
      <c r="F3" s="1256" t="s">
        <v>65</v>
      </c>
      <c r="G3" s="1256"/>
      <c r="H3" s="1256"/>
      <c r="I3" s="325" t="s">
        <v>69</v>
      </c>
    </row>
    <row r="4" spans="1:9">
      <c r="B4" s="326">
        <v>60</v>
      </c>
      <c r="C4" s="327" t="s">
        <v>70</v>
      </c>
      <c r="D4" s="328">
        <v>9908.93</v>
      </c>
      <c r="E4" s="329">
        <v>0.14446163786744018</v>
      </c>
      <c r="F4" s="330">
        <v>70</v>
      </c>
      <c r="G4" s="327" t="s">
        <v>167</v>
      </c>
      <c r="H4" s="328">
        <v>35340.400000000001</v>
      </c>
      <c r="I4" s="331">
        <v>0.5152253640797223</v>
      </c>
    </row>
    <row r="5" spans="1:9">
      <c r="B5" s="332">
        <v>6020</v>
      </c>
      <c r="C5" s="333" t="s">
        <v>168</v>
      </c>
      <c r="D5" s="334">
        <v>2645.5</v>
      </c>
      <c r="E5" s="335"/>
      <c r="F5" s="336">
        <v>7060</v>
      </c>
      <c r="G5" s="333" t="s">
        <v>73</v>
      </c>
      <c r="H5" s="337">
        <v>35340.400000000001</v>
      </c>
      <c r="I5" s="338"/>
    </row>
    <row r="6" spans="1:9">
      <c r="B6" s="332">
        <v>6063</v>
      </c>
      <c r="C6" s="333" t="s">
        <v>169</v>
      </c>
      <c r="D6" s="334">
        <v>4659.3599999999997</v>
      </c>
      <c r="E6" s="335"/>
      <c r="F6" s="339"/>
      <c r="G6" s="130"/>
      <c r="H6" s="130"/>
      <c r="I6" s="338"/>
    </row>
    <row r="7" spans="1:9">
      <c r="B7" s="332">
        <v>6064</v>
      </c>
      <c r="C7" s="333" t="s">
        <v>170</v>
      </c>
      <c r="D7" s="334">
        <v>1776.2799999999997</v>
      </c>
      <c r="E7" s="335"/>
      <c r="F7" s="130"/>
      <c r="G7" s="130"/>
      <c r="H7" s="130"/>
      <c r="I7" s="338"/>
    </row>
    <row r="8" spans="1:9">
      <c r="B8" s="332">
        <v>6068</v>
      </c>
      <c r="C8" s="333" t="s">
        <v>77</v>
      </c>
      <c r="D8" s="334">
        <v>827.79</v>
      </c>
      <c r="E8" s="335"/>
      <c r="F8" s="339"/>
      <c r="G8" s="340"/>
      <c r="H8" s="337"/>
      <c r="I8" s="338"/>
    </row>
    <row r="9" spans="1:9">
      <c r="B9" s="326">
        <v>61</v>
      </c>
      <c r="C9" s="327" t="s">
        <v>78</v>
      </c>
      <c r="D9" s="328">
        <v>5919.37</v>
      </c>
      <c r="E9" s="329">
        <v>8.6298105380034906E-2</v>
      </c>
      <c r="F9" s="341"/>
      <c r="G9" s="342"/>
      <c r="H9" s="343"/>
      <c r="I9" s="331"/>
    </row>
    <row r="10" spans="1:9">
      <c r="B10" s="332">
        <v>6110</v>
      </c>
      <c r="C10" s="344" t="s">
        <v>171</v>
      </c>
      <c r="D10" s="345">
        <v>231</v>
      </c>
      <c r="E10" s="335"/>
      <c r="F10" s="336"/>
      <c r="G10" s="333"/>
      <c r="H10" s="337"/>
      <c r="I10" s="338"/>
    </row>
    <row r="11" spans="1:9">
      <c r="B11" s="332">
        <v>6135</v>
      </c>
      <c r="C11" s="344" t="s">
        <v>172</v>
      </c>
      <c r="D11" s="334">
        <v>5606.32</v>
      </c>
      <c r="E11" s="335"/>
      <c r="F11" s="336"/>
      <c r="G11" s="333"/>
      <c r="H11" s="337"/>
      <c r="I11" s="338"/>
    </row>
    <row r="12" spans="1:9">
      <c r="B12" s="332">
        <v>6160</v>
      </c>
      <c r="C12" s="333" t="s">
        <v>84</v>
      </c>
      <c r="D12" s="334">
        <v>82.05</v>
      </c>
      <c r="E12" s="335"/>
      <c r="F12" s="339"/>
      <c r="G12" s="333"/>
      <c r="H12" s="337"/>
      <c r="I12" s="338"/>
    </row>
    <row r="13" spans="1:9">
      <c r="B13" s="326">
        <v>62</v>
      </c>
      <c r="C13" s="327" t="s">
        <v>85</v>
      </c>
      <c r="D13" s="328">
        <v>15260.17</v>
      </c>
      <c r="E13" s="329">
        <v>0.22247701339454154</v>
      </c>
      <c r="F13" s="130"/>
      <c r="G13" s="130"/>
      <c r="H13" s="130"/>
      <c r="I13" s="331"/>
    </row>
    <row r="14" spans="1:9">
      <c r="B14" s="332">
        <v>6226</v>
      </c>
      <c r="C14" s="333" t="s">
        <v>173</v>
      </c>
      <c r="D14" s="334">
        <v>14615.16</v>
      </c>
      <c r="E14" s="335"/>
      <c r="F14" s="130"/>
      <c r="G14" s="130"/>
      <c r="H14" s="130"/>
      <c r="I14" s="338"/>
    </row>
    <row r="15" spans="1:9">
      <c r="B15" s="332">
        <v>6231</v>
      </c>
      <c r="C15" s="333" t="s">
        <v>174</v>
      </c>
      <c r="D15" s="334">
        <v>44</v>
      </c>
      <c r="E15" s="335"/>
      <c r="F15" s="130"/>
      <c r="G15" s="130"/>
      <c r="H15" s="130"/>
      <c r="I15" s="338"/>
    </row>
    <row r="16" spans="1:9">
      <c r="B16" s="332">
        <v>6247</v>
      </c>
      <c r="C16" s="333" t="s">
        <v>158</v>
      </c>
      <c r="D16" s="334">
        <v>323.48</v>
      </c>
      <c r="E16" s="335"/>
      <c r="F16" s="130"/>
      <c r="G16" s="130"/>
      <c r="H16" s="130"/>
      <c r="I16" s="338"/>
    </row>
    <row r="17" spans="2:9">
      <c r="B17" s="332">
        <v>6257</v>
      </c>
      <c r="C17" s="333" t="s">
        <v>175</v>
      </c>
      <c r="D17" s="334">
        <v>67.53</v>
      </c>
      <c r="E17" s="335"/>
      <c r="F17" s="130"/>
      <c r="G17" s="130"/>
      <c r="H17" s="130"/>
      <c r="I17" s="338"/>
    </row>
    <row r="18" spans="2:9">
      <c r="B18" s="346">
        <v>6260</v>
      </c>
      <c r="C18" s="333" t="s">
        <v>176</v>
      </c>
      <c r="D18" s="334">
        <v>210</v>
      </c>
      <c r="E18" s="335"/>
      <c r="F18" s="130"/>
      <c r="G18" s="130"/>
      <c r="H18" s="130"/>
      <c r="I18" s="338"/>
    </row>
    <row r="19" spans="2:9">
      <c r="B19" s="326">
        <v>64</v>
      </c>
      <c r="C19" s="327" t="s">
        <v>94</v>
      </c>
      <c r="D19" s="328">
        <v>32586.789999999994</v>
      </c>
      <c r="E19" s="329">
        <v>0.47508066524259634</v>
      </c>
      <c r="F19" s="330">
        <v>74</v>
      </c>
      <c r="G19" s="327" t="s">
        <v>95</v>
      </c>
      <c r="H19" s="328">
        <v>33012</v>
      </c>
      <c r="I19" s="331">
        <v>0.48127977382824738</v>
      </c>
    </row>
    <row r="20" spans="2:9">
      <c r="B20" s="332">
        <v>6410</v>
      </c>
      <c r="C20" s="333" t="s">
        <v>177</v>
      </c>
      <c r="D20" s="334">
        <v>24802.819999999996</v>
      </c>
      <c r="E20" s="335"/>
      <c r="F20" s="336">
        <v>7420</v>
      </c>
      <c r="G20" s="333" t="s">
        <v>103</v>
      </c>
      <c r="H20" s="337">
        <v>17050</v>
      </c>
      <c r="I20" s="338"/>
    </row>
    <row r="21" spans="2:9">
      <c r="B21" s="332">
        <v>6450</v>
      </c>
      <c r="C21" s="333" t="s">
        <v>178</v>
      </c>
      <c r="D21" s="334">
        <v>7783.9699999999993</v>
      </c>
      <c r="E21" s="335"/>
      <c r="F21" s="336">
        <v>7430</v>
      </c>
      <c r="G21" s="333" t="s">
        <v>179</v>
      </c>
      <c r="H21" s="337">
        <v>4767</v>
      </c>
      <c r="I21" s="338"/>
    </row>
    <row r="22" spans="2:9">
      <c r="B22" s="326">
        <v>66</v>
      </c>
      <c r="C22" s="327" t="s">
        <v>180</v>
      </c>
      <c r="D22" s="328">
        <v>32.86</v>
      </c>
      <c r="E22" s="329">
        <v>4.7906377583897396E-4</v>
      </c>
      <c r="F22" s="336">
        <v>7440</v>
      </c>
      <c r="G22" s="333" t="s">
        <v>110</v>
      </c>
      <c r="H22" s="337">
        <v>3500</v>
      </c>
      <c r="I22" s="331"/>
    </row>
    <row r="23" spans="2:9">
      <c r="B23" s="347">
        <v>6600</v>
      </c>
      <c r="C23" s="344" t="s">
        <v>180</v>
      </c>
      <c r="D23" s="334">
        <v>33</v>
      </c>
      <c r="E23" s="335"/>
      <c r="F23" s="336">
        <v>7450</v>
      </c>
      <c r="G23" s="333" t="s">
        <v>181</v>
      </c>
      <c r="H23" s="337">
        <v>7500</v>
      </c>
      <c r="I23" s="338"/>
    </row>
    <row r="24" spans="2:9">
      <c r="B24" s="326">
        <v>67</v>
      </c>
      <c r="C24" s="327" t="s">
        <v>182</v>
      </c>
      <c r="D24" s="328">
        <v>1220</v>
      </c>
      <c r="E24" s="329">
        <v>1.7786299650747055E-2</v>
      </c>
      <c r="F24" s="336">
        <v>7460</v>
      </c>
      <c r="G24" s="333" t="s">
        <v>115</v>
      </c>
      <c r="H24" s="337">
        <v>195</v>
      </c>
      <c r="I24" s="338"/>
    </row>
    <row r="25" spans="2:9">
      <c r="B25" s="347">
        <v>6710</v>
      </c>
      <c r="C25" s="342" t="s">
        <v>183</v>
      </c>
      <c r="D25" s="345">
        <v>1220</v>
      </c>
      <c r="E25" s="335"/>
      <c r="F25" s="348">
        <v>75</v>
      </c>
      <c r="G25" s="349" t="s">
        <v>184</v>
      </c>
      <c r="H25" s="350">
        <v>240</v>
      </c>
      <c r="I25" s="331">
        <v>0</v>
      </c>
    </row>
    <row r="26" spans="2:9">
      <c r="B26" s="351"/>
      <c r="C26" s="130"/>
      <c r="D26" s="130"/>
      <c r="E26" s="352"/>
      <c r="F26" s="336">
        <v>7560</v>
      </c>
      <c r="G26" s="333" t="s">
        <v>113</v>
      </c>
      <c r="H26" s="337">
        <v>240</v>
      </c>
      <c r="I26" s="353"/>
    </row>
    <row r="27" spans="2:9">
      <c r="B27" s="326"/>
      <c r="C27" s="327" t="s">
        <v>185</v>
      </c>
      <c r="D27" s="328">
        <v>3664</v>
      </c>
      <c r="E27" s="329">
        <v>5.3417214688801E-2</v>
      </c>
      <c r="F27" s="339"/>
      <c r="G27" s="131"/>
      <c r="H27" s="337"/>
      <c r="I27" s="354"/>
    </row>
    <row r="28" spans="2:9" ht="15.75" thickBot="1">
      <c r="B28" s="1257" t="s">
        <v>186</v>
      </c>
      <c r="C28" s="1258"/>
      <c r="D28" s="355">
        <v>68592.12</v>
      </c>
      <c r="E28" s="356"/>
      <c r="F28" s="357" t="s">
        <v>187</v>
      </c>
      <c r="G28" s="358"/>
      <c r="H28" s="359">
        <v>68592.399999999994</v>
      </c>
      <c r="I28" s="360"/>
    </row>
  </sheetData>
  <sheetProtection password="CDAE" sheet="1" selectLockedCells="1"/>
  <mergeCells count="3">
    <mergeCell ref="B3:D3"/>
    <mergeCell ref="F3:H3"/>
    <mergeCell ref="B28:C28"/>
  </mergeCells>
  <pageMargins left="3.937007874015748E-2" right="3.937007874015748E-2" top="3.937007874015748E-2" bottom="3.937007874015748E-2" header="0" footer="0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RowColHeaders="0" workbookViewId="0">
      <selection activeCell="E18" sqref="E18"/>
    </sheetView>
  </sheetViews>
  <sheetFormatPr baseColWidth="10" defaultColWidth="11.5703125" defaultRowHeight="15"/>
  <cols>
    <col min="1" max="1" width="7.7109375" style="69" customWidth="1"/>
    <col min="2" max="2" width="30" style="69" customWidth="1"/>
    <col min="3" max="3" width="12.5703125" style="69" customWidth="1"/>
    <col min="4" max="4" width="7.5703125" style="69" customWidth="1"/>
    <col min="5" max="5" width="25" style="69" customWidth="1"/>
    <col min="6" max="16384" width="11.5703125" style="69"/>
  </cols>
  <sheetData>
    <row r="1" spans="1:6">
      <c r="A1" s="235"/>
      <c r="B1" s="235"/>
      <c r="C1" s="235"/>
      <c r="D1" s="235"/>
      <c r="E1" s="235"/>
    </row>
    <row r="2" spans="1:6">
      <c r="A2" s="361" t="s">
        <v>188</v>
      </c>
      <c r="B2" s="362"/>
      <c r="C2" s="362"/>
      <c r="D2" s="362"/>
      <c r="E2" s="362"/>
      <c r="F2" s="362"/>
    </row>
    <row r="3" spans="1:6">
      <c r="A3" s="362"/>
      <c r="B3" s="362"/>
      <c r="C3" s="362"/>
      <c r="D3" s="362"/>
      <c r="E3" s="362"/>
      <c r="F3" s="362"/>
    </row>
    <row r="4" spans="1:6">
      <c r="A4" s="363" t="s">
        <v>189</v>
      </c>
      <c r="B4" s="363"/>
      <c r="C4" s="364"/>
      <c r="D4" s="365" t="s">
        <v>190</v>
      </c>
      <c r="E4" s="363"/>
      <c r="F4" s="364"/>
    </row>
    <row r="5" spans="1:6">
      <c r="A5" s="366">
        <v>275</v>
      </c>
      <c r="B5" s="367" t="s">
        <v>191</v>
      </c>
      <c r="C5" s="368">
        <v>2070</v>
      </c>
      <c r="D5" s="366">
        <v>167</v>
      </c>
      <c r="E5" s="369" t="s">
        <v>192</v>
      </c>
      <c r="F5" s="370">
        <v>20000</v>
      </c>
    </row>
    <row r="6" spans="1:6">
      <c r="A6" s="371"/>
      <c r="B6" s="372"/>
      <c r="C6" s="373"/>
      <c r="D6" s="371">
        <v>120</v>
      </c>
      <c r="E6" s="373" t="s">
        <v>193</v>
      </c>
      <c r="F6" s="374">
        <v>3664</v>
      </c>
    </row>
    <row r="7" spans="1:6">
      <c r="A7" s="375" t="s">
        <v>194</v>
      </c>
      <c r="B7" s="365"/>
      <c r="C7" s="365"/>
      <c r="D7" s="375" t="s">
        <v>195</v>
      </c>
      <c r="E7" s="365"/>
      <c r="F7" s="364"/>
    </row>
    <row r="8" spans="1:6">
      <c r="A8" s="376">
        <v>411</v>
      </c>
      <c r="B8" s="367" t="s">
        <v>196</v>
      </c>
      <c r="C8" s="370">
        <v>4725</v>
      </c>
      <c r="D8" s="376">
        <v>400</v>
      </c>
      <c r="E8" s="369" t="s">
        <v>197</v>
      </c>
      <c r="F8" s="370">
        <v>2068.84</v>
      </c>
    </row>
    <row r="9" spans="1:6">
      <c r="A9" s="366">
        <v>448</v>
      </c>
      <c r="B9" s="377" t="s">
        <v>198</v>
      </c>
      <c r="C9" s="378">
        <v>12749.54</v>
      </c>
      <c r="D9" s="366">
        <v>401</v>
      </c>
      <c r="E9" s="337" t="s">
        <v>199</v>
      </c>
      <c r="F9" s="378">
        <v>7465.75</v>
      </c>
    </row>
    <row r="10" spans="1:6">
      <c r="A10" s="366"/>
      <c r="B10" s="377"/>
      <c r="C10" s="337"/>
      <c r="D10" s="366">
        <v>421</v>
      </c>
      <c r="E10" s="337" t="s">
        <v>200</v>
      </c>
      <c r="F10" s="378">
        <v>489.07000000000005</v>
      </c>
    </row>
    <row r="11" spans="1:6">
      <c r="A11" s="366">
        <v>512</v>
      </c>
      <c r="B11" s="377" t="s">
        <v>201</v>
      </c>
      <c r="C11" s="378">
        <v>21214.550000000003</v>
      </c>
      <c r="D11" s="366">
        <v>438</v>
      </c>
      <c r="E11" s="337" t="s">
        <v>202</v>
      </c>
      <c r="F11" s="378">
        <v>7071.15</v>
      </c>
    </row>
    <row r="12" spans="1:6">
      <c r="A12" s="379"/>
      <c r="B12" s="379" t="s">
        <v>203</v>
      </c>
      <c r="C12" s="379">
        <v>40759.090000000004</v>
      </c>
      <c r="D12" s="379"/>
      <c r="E12" s="379" t="s">
        <v>204</v>
      </c>
      <c r="F12" s="379">
        <v>40758.81</v>
      </c>
    </row>
    <row r="13" spans="1:6">
      <c r="A13" s="380"/>
      <c r="B13" s="381"/>
      <c r="C13" s="380"/>
      <c r="D13" s="380"/>
      <c r="E13" s="380"/>
      <c r="F13" s="362"/>
    </row>
    <row r="14" spans="1:6">
      <c r="A14" s="362"/>
      <c r="B14" s="362"/>
      <c r="C14" s="362"/>
      <c r="D14" s="362"/>
      <c r="E14" s="362"/>
      <c r="F14" s="362"/>
    </row>
    <row r="15" spans="1:6">
      <c r="A15" s="362"/>
      <c r="B15" s="362"/>
      <c r="C15" s="362"/>
      <c r="D15" s="362"/>
      <c r="E15" s="362"/>
      <c r="F15" s="362"/>
    </row>
    <row r="27" spans="1:6">
      <c r="A27" s="362"/>
      <c r="B27" s="362"/>
      <c r="C27" s="362"/>
      <c r="D27" s="362"/>
      <c r="E27" s="362"/>
      <c r="F27" s="362"/>
    </row>
    <row r="28" spans="1:6">
      <c r="A28" s="362"/>
      <c r="B28" s="362"/>
      <c r="C28" s="362"/>
      <c r="D28" s="362"/>
      <c r="E28" s="362"/>
      <c r="F28" s="362"/>
    </row>
    <row r="29" spans="1:6">
      <c r="A29" s="362"/>
      <c r="B29" s="362"/>
      <c r="C29" s="362"/>
      <c r="D29" s="362"/>
      <c r="E29" s="362"/>
      <c r="F29" s="362"/>
    </row>
  </sheetData>
  <sheetProtection password="CDAE" sheet="1" selectLockedCells="1"/>
  <pageMargins left="3.937007874015748E-2" right="3.937007874015748E-2" top="3.937007874015748E-2" bottom="3.937007874015748E-2" header="0" footer="0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Z88"/>
  <sheetViews>
    <sheetView showGridLines="0" showRowColHeaders="0" topLeftCell="P1" workbookViewId="0">
      <selection activeCell="T7" sqref="T7"/>
    </sheetView>
  </sheetViews>
  <sheetFormatPr baseColWidth="10" defaultColWidth="11.5703125" defaultRowHeight="15"/>
  <cols>
    <col min="1" max="15" width="11.42578125" style="140" hidden="1" customWidth="1"/>
    <col min="16" max="16" width="1.7109375" style="426" customWidth="1"/>
    <col min="17" max="17" width="34.140625" style="140" customWidth="1"/>
    <col min="18" max="41" width="9.28515625" style="140" customWidth="1"/>
    <col min="42" max="42" width="11.140625" style="140" customWidth="1"/>
    <col min="43" max="43" width="9.7109375" style="140" customWidth="1"/>
    <col min="44" max="44" width="31.85546875" style="140" bestFit="1" customWidth="1"/>
    <col min="45" max="68" width="9.28515625" style="140" customWidth="1"/>
    <col min="69" max="69" width="13.28515625" style="140" customWidth="1"/>
    <col min="70" max="70" width="9.42578125" style="140" customWidth="1"/>
    <col min="71" max="71" width="1.5703125" style="140" customWidth="1"/>
    <col min="72" max="72" width="31.85546875" style="140" bestFit="1" customWidth="1"/>
    <col min="73" max="96" width="9.28515625" style="140" customWidth="1"/>
    <col min="97" max="97" width="11.5703125" style="140" bestFit="1" customWidth="1"/>
    <col min="98" max="16384" width="11.5703125" style="140"/>
  </cols>
  <sheetData>
    <row r="1" spans="1:97" ht="21.75" thickTop="1">
      <c r="Q1" s="460" t="s">
        <v>205</v>
      </c>
      <c r="R1" s="461" t="s">
        <v>206</v>
      </c>
      <c r="S1" s="462"/>
      <c r="T1" s="462"/>
      <c r="U1" s="462"/>
      <c r="V1" s="462"/>
      <c r="W1" s="463"/>
      <c r="X1" s="1276"/>
      <c r="Y1" s="1280" t="s">
        <v>321</v>
      </c>
      <c r="Z1" s="1280"/>
      <c r="AA1" s="1280"/>
      <c r="AB1" s="1280"/>
      <c r="AC1" s="1280"/>
      <c r="AD1" s="1280"/>
      <c r="AE1" s="1280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</row>
    <row r="2" spans="1:97" ht="4.1500000000000004" customHeight="1">
      <c r="Q2" s="464"/>
      <c r="R2" s="426"/>
      <c r="S2" s="426"/>
      <c r="T2" s="426"/>
      <c r="U2" s="426"/>
      <c r="V2" s="426"/>
      <c r="W2" s="465"/>
      <c r="X2" s="1277"/>
      <c r="Y2" s="1280"/>
      <c r="Z2" s="1280"/>
      <c r="AA2" s="1280"/>
      <c r="AB2" s="1280"/>
      <c r="AC2" s="1280"/>
      <c r="AD2" s="1280"/>
      <c r="AE2" s="1280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</row>
    <row r="3" spans="1:97">
      <c r="Q3" s="466" t="s">
        <v>207</v>
      </c>
      <c r="R3" s="467" t="s">
        <v>208</v>
      </c>
      <c r="S3" s="467" t="s">
        <v>209</v>
      </c>
      <c r="T3" s="467" t="s">
        <v>210</v>
      </c>
      <c r="U3" s="467" t="s">
        <v>211</v>
      </c>
      <c r="V3" s="467" t="s">
        <v>212</v>
      </c>
      <c r="W3" s="468" t="s">
        <v>213</v>
      </c>
      <c r="X3" s="1277"/>
      <c r="Y3" s="1280" t="s">
        <v>328</v>
      </c>
      <c r="Z3" s="1280"/>
      <c r="AA3" s="1280"/>
      <c r="AB3" s="1280"/>
      <c r="AC3" s="1280"/>
      <c r="AD3" s="1280"/>
      <c r="AE3" s="1280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26"/>
      <c r="BZ3" s="426"/>
      <c r="CA3" s="426"/>
      <c r="CB3" s="426"/>
      <c r="CC3" s="426"/>
      <c r="CD3" s="426"/>
      <c r="CE3" s="426"/>
      <c r="CF3" s="426"/>
      <c r="CG3" s="426"/>
      <c r="CH3" s="426"/>
      <c r="CI3" s="426"/>
      <c r="CJ3" s="426"/>
      <c r="CK3" s="426"/>
      <c r="CL3" s="426"/>
      <c r="CM3" s="426"/>
      <c r="CN3" s="426"/>
      <c r="CO3" s="426"/>
      <c r="CP3" s="426"/>
      <c r="CQ3" s="426"/>
      <c r="CR3" s="426"/>
      <c r="CS3" s="426"/>
    </row>
    <row r="4" spans="1:97" ht="15.75" thickBot="1">
      <c r="Q4" s="469">
        <v>182.3</v>
      </c>
      <c r="R4" s="470">
        <v>897.25</v>
      </c>
      <c r="S4" s="470">
        <v>6230.87</v>
      </c>
      <c r="T4" s="470">
        <v>29958.93</v>
      </c>
      <c r="U4" s="470">
        <v>16849.060000000001</v>
      </c>
      <c r="V4" s="470" t="s">
        <v>214</v>
      </c>
      <c r="W4" s="471">
        <v>21214.55</v>
      </c>
      <c r="X4" s="1277"/>
      <c r="Y4" s="1170"/>
      <c r="Z4" s="1170"/>
      <c r="AA4" s="1170"/>
      <c r="AB4" s="1170"/>
      <c r="AC4" s="1170"/>
      <c r="AD4" s="1170"/>
      <c r="AE4" s="1170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</row>
    <row r="5" spans="1:97" ht="10.15" customHeight="1" thickTop="1" thickBot="1">
      <c r="Q5" s="1273"/>
      <c r="R5" s="1274"/>
      <c r="S5" s="1274"/>
      <c r="T5" s="1274"/>
      <c r="U5" s="1274"/>
      <c r="V5" s="1274"/>
      <c r="W5" s="1274"/>
      <c r="X5" s="1275"/>
      <c r="Y5" s="1275"/>
      <c r="Z5" s="1275"/>
      <c r="AA5" s="1275"/>
      <c r="AB5" s="1275"/>
      <c r="AC5" s="1275"/>
      <c r="AD5" s="1275"/>
      <c r="AE5" s="1275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6"/>
      <c r="CO5" s="426"/>
      <c r="CP5" s="426"/>
      <c r="CQ5" s="426"/>
      <c r="CR5" s="426"/>
      <c r="CS5" s="606"/>
    </row>
    <row r="6" spans="1:97" ht="13.35" customHeight="1" thickTop="1">
      <c r="A6" s="1259" t="s">
        <v>215</v>
      </c>
      <c r="B6" s="1259"/>
      <c r="C6" s="1259"/>
      <c r="D6" s="1259"/>
      <c r="E6" s="1259"/>
      <c r="F6" s="1259"/>
      <c r="G6" s="1259"/>
      <c r="H6" s="1259"/>
      <c r="I6" s="1259"/>
      <c r="J6" s="1259"/>
      <c r="K6" s="1259"/>
      <c r="L6" s="1259"/>
      <c r="M6" s="1259"/>
      <c r="N6" s="1259"/>
      <c r="O6" s="1259"/>
      <c r="P6" s="292"/>
      <c r="Q6" s="1260" t="s">
        <v>325</v>
      </c>
      <c r="R6" s="1269" t="s">
        <v>227</v>
      </c>
      <c r="S6" s="1262" t="s">
        <v>218</v>
      </c>
      <c r="T6" s="597" t="s">
        <v>322</v>
      </c>
      <c r="U6" s="1262" t="s">
        <v>219</v>
      </c>
      <c r="V6" s="597" t="s">
        <v>322</v>
      </c>
      <c r="W6" s="1262" t="s">
        <v>220</v>
      </c>
      <c r="X6" s="597" t="s">
        <v>322</v>
      </c>
      <c r="Y6" s="1262" t="s">
        <v>221</v>
      </c>
      <c r="Z6" s="597" t="s">
        <v>322</v>
      </c>
      <c r="AA6" s="1262" t="s">
        <v>222</v>
      </c>
      <c r="AB6" s="597" t="s">
        <v>322</v>
      </c>
      <c r="AC6" s="1262" t="s">
        <v>207</v>
      </c>
      <c r="AD6" s="598" t="s">
        <v>322</v>
      </c>
      <c r="AE6" s="1264" t="s">
        <v>208</v>
      </c>
      <c r="AF6" s="597" t="s">
        <v>322</v>
      </c>
      <c r="AG6" s="1266" t="s">
        <v>224</v>
      </c>
      <c r="AH6" s="597" t="s">
        <v>322</v>
      </c>
      <c r="AI6" s="1262" t="s">
        <v>210</v>
      </c>
      <c r="AJ6" s="597" t="s">
        <v>322</v>
      </c>
      <c r="AK6" s="1262" t="s">
        <v>211</v>
      </c>
      <c r="AL6" s="597" t="s">
        <v>322</v>
      </c>
      <c r="AM6" s="1262" t="s">
        <v>212</v>
      </c>
      <c r="AN6" s="597" t="s">
        <v>322</v>
      </c>
      <c r="AO6" s="1262" t="s">
        <v>225</v>
      </c>
      <c r="AP6" s="1271" t="s">
        <v>323</v>
      </c>
      <c r="AQ6" s="1278"/>
      <c r="AR6" s="1260" t="s">
        <v>327</v>
      </c>
      <c r="AS6" s="1269" t="s">
        <v>228</v>
      </c>
      <c r="AT6" s="1262" t="s">
        <v>218</v>
      </c>
      <c r="AU6" s="597" t="s">
        <v>322</v>
      </c>
      <c r="AV6" s="1262" t="s">
        <v>219</v>
      </c>
      <c r="AW6" s="597" t="s">
        <v>322</v>
      </c>
      <c r="AX6" s="1262" t="s">
        <v>220</v>
      </c>
      <c r="AY6" s="597" t="s">
        <v>322</v>
      </c>
      <c r="AZ6" s="1262" t="s">
        <v>221</v>
      </c>
      <c r="BA6" s="597" t="s">
        <v>322</v>
      </c>
      <c r="BB6" s="1262" t="s">
        <v>222</v>
      </c>
      <c r="BC6" s="597" t="s">
        <v>322</v>
      </c>
      <c r="BD6" s="1262" t="s">
        <v>207</v>
      </c>
      <c r="BE6" s="598" t="s">
        <v>322</v>
      </c>
      <c r="BF6" s="1264" t="s">
        <v>208</v>
      </c>
      <c r="BG6" s="597" t="s">
        <v>322</v>
      </c>
      <c r="BH6" s="1266" t="s">
        <v>224</v>
      </c>
      <c r="BI6" s="597" t="s">
        <v>322</v>
      </c>
      <c r="BJ6" s="1262" t="s">
        <v>210</v>
      </c>
      <c r="BK6" s="597" t="s">
        <v>322</v>
      </c>
      <c r="BL6" s="1262" t="s">
        <v>211</v>
      </c>
      <c r="BM6" s="597" t="s">
        <v>322</v>
      </c>
      <c r="BN6" s="1262" t="s">
        <v>212</v>
      </c>
      <c r="BO6" s="597" t="s">
        <v>322</v>
      </c>
      <c r="BP6" s="1262" t="s">
        <v>225</v>
      </c>
      <c r="BQ6" s="1271" t="s">
        <v>323</v>
      </c>
      <c r="BR6" s="599"/>
      <c r="BS6" s="600"/>
      <c r="BT6" s="1260" t="s">
        <v>326</v>
      </c>
      <c r="BU6" s="1269" t="s">
        <v>229</v>
      </c>
      <c r="BV6" s="1262" t="s">
        <v>218</v>
      </c>
      <c r="BW6" s="597" t="s">
        <v>322</v>
      </c>
      <c r="BX6" s="1262" t="s">
        <v>219</v>
      </c>
      <c r="BY6" s="597" t="s">
        <v>322</v>
      </c>
      <c r="BZ6" s="1262" t="s">
        <v>220</v>
      </c>
      <c r="CA6" s="597" t="s">
        <v>322</v>
      </c>
      <c r="CB6" s="1262" t="s">
        <v>221</v>
      </c>
      <c r="CC6" s="597" t="s">
        <v>322</v>
      </c>
      <c r="CD6" s="1262" t="s">
        <v>222</v>
      </c>
      <c r="CE6" s="597" t="s">
        <v>322</v>
      </c>
      <c r="CF6" s="1262" t="s">
        <v>207</v>
      </c>
      <c r="CG6" s="598" t="s">
        <v>322</v>
      </c>
      <c r="CH6" s="1264" t="s">
        <v>208</v>
      </c>
      <c r="CI6" s="597" t="s">
        <v>322</v>
      </c>
      <c r="CJ6" s="1266" t="s">
        <v>224</v>
      </c>
      <c r="CK6" s="597" t="s">
        <v>322</v>
      </c>
      <c r="CL6" s="1262" t="s">
        <v>210</v>
      </c>
      <c r="CM6" s="597" t="s">
        <v>322</v>
      </c>
      <c r="CN6" s="1262" t="s">
        <v>211</v>
      </c>
      <c r="CO6" s="597" t="s">
        <v>322</v>
      </c>
      <c r="CP6" s="1262" t="s">
        <v>212</v>
      </c>
      <c r="CQ6" s="597" t="s">
        <v>322</v>
      </c>
      <c r="CR6" s="1262" t="s">
        <v>225</v>
      </c>
      <c r="CS6" s="1281" t="s">
        <v>323</v>
      </c>
    </row>
    <row r="7" spans="1:97" s="561" customFormat="1" ht="15.75" customHeight="1" thickBot="1">
      <c r="A7" s="456"/>
      <c r="B7" s="382" t="s">
        <v>217</v>
      </c>
      <c r="C7" s="382" t="s">
        <v>218</v>
      </c>
      <c r="D7" s="382" t="s">
        <v>219</v>
      </c>
      <c r="E7" s="382" t="s">
        <v>220</v>
      </c>
      <c r="F7" s="382" t="s">
        <v>221</v>
      </c>
      <c r="G7" s="382" t="s">
        <v>222</v>
      </c>
      <c r="H7" s="382" t="s">
        <v>207</v>
      </c>
      <c r="I7" s="384" t="s">
        <v>223</v>
      </c>
      <c r="J7" s="382" t="s">
        <v>224</v>
      </c>
      <c r="K7" s="382" t="s">
        <v>210</v>
      </c>
      <c r="L7" s="382" t="s">
        <v>211</v>
      </c>
      <c r="M7" s="382" t="s">
        <v>212</v>
      </c>
      <c r="N7" s="382" t="s">
        <v>225</v>
      </c>
      <c r="O7" s="423" t="s">
        <v>226</v>
      </c>
      <c r="P7" s="236"/>
      <c r="Q7" s="1261"/>
      <c r="R7" s="1270"/>
      <c r="S7" s="1268"/>
      <c r="T7" s="601" t="s">
        <v>218</v>
      </c>
      <c r="U7" s="1263"/>
      <c r="V7" s="601" t="s">
        <v>324</v>
      </c>
      <c r="W7" s="1263"/>
      <c r="X7" s="601" t="s">
        <v>220</v>
      </c>
      <c r="Y7" s="1263"/>
      <c r="Z7" s="601" t="s">
        <v>221</v>
      </c>
      <c r="AA7" s="1263"/>
      <c r="AB7" s="601" t="s">
        <v>222</v>
      </c>
      <c r="AC7" s="1263"/>
      <c r="AD7" s="602" t="s">
        <v>207</v>
      </c>
      <c r="AE7" s="1265"/>
      <c r="AF7" s="603" t="s">
        <v>208</v>
      </c>
      <c r="AG7" s="1267"/>
      <c r="AH7" s="601" t="s">
        <v>224</v>
      </c>
      <c r="AI7" s="1263"/>
      <c r="AJ7" s="601" t="s">
        <v>210</v>
      </c>
      <c r="AK7" s="1263"/>
      <c r="AL7" s="601" t="s">
        <v>211</v>
      </c>
      <c r="AM7" s="1268"/>
      <c r="AN7" s="601" t="s">
        <v>212</v>
      </c>
      <c r="AO7" s="1263"/>
      <c r="AP7" s="1272"/>
      <c r="AQ7" s="1279"/>
      <c r="AR7" s="1261"/>
      <c r="AS7" s="1270"/>
      <c r="AT7" s="1268"/>
      <c r="AU7" s="601" t="s">
        <v>218</v>
      </c>
      <c r="AV7" s="1263"/>
      <c r="AW7" s="601" t="s">
        <v>324</v>
      </c>
      <c r="AX7" s="1263"/>
      <c r="AY7" s="601" t="s">
        <v>220</v>
      </c>
      <c r="AZ7" s="1263"/>
      <c r="BA7" s="601" t="s">
        <v>221</v>
      </c>
      <c r="BB7" s="1263"/>
      <c r="BC7" s="601" t="s">
        <v>222</v>
      </c>
      <c r="BD7" s="1263"/>
      <c r="BE7" s="602" t="s">
        <v>207</v>
      </c>
      <c r="BF7" s="1265"/>
      <c r="BG7" s="603" t="s">
        <v>208</v>
      </c>
      <c r="BH7" s="1267"/>
      <c r="BI7" s="601" t="s">
        <v>224</v>
      </c>
      <c r="BJ7" s="1263"/>
      <c r="BK7" s="601" t="s">
        <v>210</v>
      </c>
      <c r="BL7" s="1263"/>
      <c r="BM7" s="601" t="s">
        <v>211</v>
      </c>
      <c r="BN7" s="1268"/>
      <c r="BO7" s="601" t="s">
        <v>212</v>
      </c>
      <c r="BP7" s="1263"/>
      <c r="BQ7" s="1272"/>
      <c r="BR7" s="604"/>
      <c r="BS7" s="605"/>
      <c r="BT7" s="1261"/>
      <c r="BU7" s="1270"/>
      <c r="BV7" s="1268"/>
      <c r="BW7" s="601" t="s">
        <v>218</v>
      </c>
      <c r="BX7" s="1263"/>
      <c r="BY7" s="601" t="s">
        <v>324</v>
      </c>
      <c r="BZ7" s="1263"/>
      <c r="CA7" s="601" t="s">
        <v>220</v>
      </c>
      <c r="CB7" s="1263"/>
      <c r="CC7" s="601" t="s">
        <v>221</v>
      </c>
      <c r="CD7" s="1263"/>
      <c r="CE7" s="601" t="s">
        <v>222</v>
      </c>
      <c r="CF7" s="1263"/>
      <c r="CG7" s="602" t="s">
        <v>207</v>
      </c>
      <c r="CH7" s="1265"/>
      <c r="CI7" s="603" t="s">
        <v>208</v>
      </c>
      <c r="CJ7" s="1267"/>
      <c r="CK7" s="601" t="s">
        <v>224</v>
      </c>
      <c r="CL7" s="1263"/>
      <c r="CM7" s="601" t="s">
        <v>210</v>
      </c>
      <c r="CN7" s="1263"/>
      <c r="CO7" s="601" t="s">
        <v>211</v>
      </c>
      <c r="CP7" s="1268"/>
      <c r="CQ7" s="601" t="s">
        <v>212</v>
      </c>
      <c r="CR7" s="1263"/>
      <c r="CS7" s="1282"/>
    </row>
    <row r="8" spans="1:97" ht="12" customHeight="1">
      <c r="A8" s="472" t="s">
        <v>230</v>
      </c>
      <c r="B8" s="385">
        <v>29591</v>
      </c>
      <c r="C8" s="386"/>
      <c r="D8" s="386"/>
      <c r="E8" s="386"/>
      <c r="F8" s="386"/>
      <c r="G8" s="386"/>
      <c r="H8" s="386"/>
      <c r="I8" s="387">
        <v>2050</v>
      </c>
      <c r="J8" s="385">
        <v>7811</v>
      </c>
      <c r="K8" s="388">
        <v>1919.7</v>
      </c>
      <c r="L8" s="389">
        <v>6450.9</v>
      </c>
      <c r="M8" s="386">
        <v>6176</v>
      </c>
      <c r="N8" s="386">
        <v>10300</v>
      </c>
      <c r="O8" s="473">
        <f>SUM(E8:N8)</f>
        <v>34707.599999999999</v>
      </c>
      <c r="P8" s="411"/>
      <c r="Q8" s="593" t="s">
        <v>230</v>
      </c>
      <c r="R8" s="497">
        <v>106100</v>
      </c>
      <c r="S8" s="453">
        <v>3000</v>
      </c>
      <c r="T8" s="454">
        <v>2905</v>
      </c>
      <c r="U8" s="453">
        <v>3500</v>
      </c>
      <c r="V8" s="454">
        <v>480</v>
      </c>
      <c r="W8" s="594">
        <v>10000</v>
      </c>
      <c r="X8" s="455"/>
      <c r="Y8" s="594">
        <v>16500</v>
      </c>
      <c r="Z8" s="455"/>
      <c r="AA8" s="594">
        <v>12000</v>
      </c>
      <c r="AB8" s="455"/>
      <c r="AC8" s="594">
        <v>10000</v>
      </c>
      <c r="AD8" s="565"/>
      <c r="AE8" s="572">
        <v>8000</v>
      </c>
      <c r="AF8" s="583"/>
      <c r="AG8" s="509">
        <v>9000</v>
      </c>
      <c r="AH8" s="455"/>
      <c r="AI8" s="453">
        <v>8000</v>
      </c>
      <c r="AJ8" s="455"/>
      <c r="AK8" s="453">
        <v>9000</v>
      </c>
      <c r="AL8" s="455"/>
      <c r="AM8" s="453">
        <v>8500</v>
      </c>
      <c r="AN8" s="455"/>
      <c r="AO8" s="507">
        <v>8500</v>
      </c>
      <c r="AP8" s="609">
        <f>S8+U8+W8+Y8+AA8+AC8+AE8+AG8+AI8+AK8+AM8+AO8</f>
        <v>106000</v>
      </c>
      <c r="AQ8" s="587"/>
      <c r="AR8" s="595" t="s">
        <v>230</v>
      </c>
      <c r="AS8" s="497">
        <v>116503</v>
      </c>
      <c r="AT8" s="453">
        <v>7500</v>
      </c>
      <c r="AU8" s="454"/>
      <c r="AV8" s="594">
        <v>13000</v>
      </c>
      <c r="AW8" s="455"/>
      <c r="AX8" s="453">
        <v>13500</v>
      </c>
      <c r="AY8" s="455"/>
      <c r="AZ8" s="453">
        <v>9500</v>
      </c>
      <c r="BA8" s="455"/>
      <c r="BB8" s="453">
        <v>9000</v>
      </c>
      <c r="BC8" s="455"/>
      <c r="BD8" s="453">
        <v>9500</v>
      </c>
      <c r="BE8" s="455"/>
      <c r="BF8" s="453">
        <v>9500</v>
      </c>
      <c r="BG8" s="455"/>
      <c r="BH8" s="453">
        <v>9500</v>
      </c>
      <c r="BI8" s="455"/>
      <c r="BJ8" s="453">
        <v>9500</v>
      </c>
      <c r="BK8" s="455"/>
      <c r="BL8" s="453">
        <v>8500</v>
      </c>
      <c r="BM8" s="455"/>
      <c r="BN8" s="453">
        <v>8500</v>
      </c>
      <c r="BO8" s="455"/>
      <c r="BP8" s="507">
        <v>8500</v>
      </c>
      <c r="BQ8" s="609">
        <f>AT8+AV8+AZ8+BB8+BD8+BF8+BH8+BJ8+BL8+BN8+BP8+AX8</f>
        <v>116000</v>
      </c>
      <c r="BR8" s="589"/>
      <c r="BS8" s="590"/>
      <c r="BT8" s="596" t="s">
        <v>230</v>
      </c>
      <c r="BU8" s="497">
        <v>117749</v>
      </c>
      <c r="BV8" s="453">
        <v>8500</v>
      </c>
      <c r="BW8" s="454"/>
      <c r="BX8" s="594">
        <v>13500</v>
      </c>
      <c r="BY8" s="455"/>
      <c r="BZ8" s="594">
        <v>8500</v>
      </c>
      <c r="CA8" s="455"/>
      <c r="CB8" s="453">
        <v>9500</v>
      </c>
      <c r="CC8" s="455"/>
      <c r="CD8" s="453">
        <v>9500</v>
      </c>
      <c r="CE8" s="455"/>
      <c r="CF8" s="453">
        <v>10500</v>
      </c>
      <c r="CG8" s="455"/>
      <c r="CH8" s="453">
        <v>10000</v>
      </c>
      <c r="CI8" s="455"/>
      <c r="CJ8" s="453">
        <v>9500</v>
      </c>
      <c r="CK8" s="455"/>
      <c r="CL8" s="453">
        <v>9500</v>
      </c>
      <c r="CM8" s="455"/>
      <c r="CN8" s="453">
        <v>9500</v>
      </c>
      <c r="CO8" s="455"/>
      <c r="CP8" s="453">
        <v>9000</v>
      </c>
      <c r="CQ8" s="455"/>
      <c r="CR8" s="507">
        <v>8500</v>
      </c>
      <c r="CS8" s="615">
        <f t="shared" ref="CS8:CS13" si="0">BV8+BX8+CB8+CD8+CF8+CH8+CJ8+CL8+CN8+CP8+CR8+BZ8</f>
        <v>116000</v>
      </c>
    </row>
    <row r="9" spans="1:97" ht="12" customHeight="1">
      <c r="A9" s="472" t="s">
        <v>231</v>
      </c>
      <c r="B9" s="385">
        <v>21278</v>
      </c>
      <c r="C9" s="386"/>
      <c r="D9" s="386"/>
      <c r="E9" s="386"/>
      <c r="F9" s="386"/>
      <c r="G9" s="386" t="s">
        <v>216</v>
      </c>
      <c r="H9" s="386"/>
      <c r="I9" s="387"/>
      <c r="J9" s="385"/>
      <c r="K9" s="385">
        <v>6184.02</v>
      </c>
      <c r="L9" s="389">
        <v>2096</v>
      </c>
      <c r="M9" s="386">
        <v>3000</v>
      </c>
      <c r="N9" s="386">
        <v>4000</v>
      </c>
      <c r="O9" s="473">
        <f>SUM(E9:N9)</f>
        <v>15280.02</v>
      </c>
      <c r="P9" s="411"/>
      <c r="Q9" s="516" t="s">
        <v>231</v>
      </c>
      <c r="R9" s="493">
        <v>72267</v>
      </c>
      <c r="S9" s="436">
        <v>6700</v>
      </c>
      <c r="T9" s="435">
        <v>6731.21</v>
      </c>
      <c r="U9" s="434">
        <v>1500</v>
      </c>
      <c r="V9" s="435">
        <v>1135.68</v>
      </c>
      <c r="W9" s="434">
        <v>5325</v>
      </c>
      <c r="X9" s="437"/>
      <c r="Y9" s="434">
        <v>5325</v>
      </c>
      <c r="Z9" s="437"/>
      <c r="AA9" s="434">
        <v>5325</v>
      </c>
      <c r="AB9" s="437"/>
      <c r="AC9" s="434">
        <v>6390</v>
      </c>
      <c r="AD9" s="562"/>
      <c r="AE9" s="568">
        <v>6390</v>
      </c>
      <c r="AF9" s="579"/>
      <c r="AG9" s="498">
        <v>6390</v>
      </c>
      <c r="AH9" s="437"/>
      <c r="AI9" s="434">
        <v>7150</v>
      </c>
      <c r="AJ9" s="437"/>
      <c r="AK9" s="434">
        <v>7150</v>
      </c>
      <c r="AL9" s="437"/>
      <c r="AM9" s="434">
        <v>7150</v>
      </c>
      <c r="AN9" s="437"/>
      <c r="AO9" s="504">
        <v>7150</v>
      </c>
      <c r="AP9" s="610">
        <f t="shared" ref="AP9:AP71" si="1">S9+U9+W9+Y9+AA9+AC9+AE9+AG9+AI9+AK9+AM9+AO9</f>
        <v>71945</v>
      </c>
      <c r="AQ9" s="587"/>
      <c r="AR9" s="550" t="s">
        <v>231</v>
      </c>
      <c r="AS9" s="493">
        <v>85806</v>
      </c>
      <c r="AT9" s="434">
        <v>7150</v>
      </c>
      <c r="AU9" s="434"/>
      <c r="AV9" s="434">
        <v>7150</v>
      </c>
      <c r="AW9" s="434"/>
      <c r="AX9" s="434">
        <v>6500</v>
      </c>
      <c r="AY9" s="434"/>
      <c r="AZ9" s="434">
        <v>7150</v>
      </c>
      <c r="BA9" s="434"/>
      <c r="BB9" s="434">
        <v>7150</v>
      </c>
      <c r="BC9" s="434"/>
      <c r="BD9" s="434">
        <v>6500</v>
      </c>
      <c r="BE9" s="434"/>
      <c r="BF9" s="434">
        <v>7150</v>
      </c>
      <c r="BG9" s="434"/>
      <c r="BH9" s="434">
        <v>7150</v>
      </c>
      <c r="BI9" s="434"/>
      <c r="BJ9" s="434">
        <v>7150</v>
      </c>
      <c r="BK9" s="434"/>
      <c r="BL9" s="434">
        <v>7150</v>
      </c>
      <c r="BM9" s="434"/>
      <c r="BN9" s="434">
        <v>6500</v>
      </c>
      <c r="BO9" s="434"/>
      <c r="BP9" s="504">
        <v>7150</v>
      </c>
      <c r="BQ9" s="610">
        <f>AT9+AV9+AZ9+BB9+BD9+BF9+BH9+BJ9+BL9+BN9+BP9+AX9</f>
        <v>83850</v>
      </c>
      <c r="BR9" s="589"/>
      <c r="BS9" s="590"/>
      <c r="BT9" s="539" t="s">
        <v>231</v>
      </c>
      <c r="BU9" s="493">
        <v>85806</v>
      </c>
      <c r="BV9" s="434">
        <v>7150</v>
      </c>
      <c r="BW9" s="435"/>
      <c r="BX9" s="434">
        <v>7150</v>
      </c>
      <c r="BY9" s="435"/>
      <c r="BZ9" s="434">
        <v>6500</v>
      </c>
      <c r="CA9" s="435"/>
      <c r="CB9" s="434">
        <v>7150</v>
      </c>
      <c r="CC9" s="435"/>
      <c r="CD9" s="434">
        <v>7150</v>
      </c>
      <c r="CE9" s="435"/>
      <c r="CF9" s="434">
        <v>6500</v>
      </c>
      <c r="CG9" s="435"/>
      <c r="CH9" s="434">
        <v>7150</v>
      </c>
      <c r="CI9" s="435"/>
      <c r="CJ9" s="434">
        <v>7150</v>
      </c>
      <c r="CK9" s="435"/>
      <c r="CL9" s="434">
        <v>7150</v>
      </c>
      <c r="CM9" s="435"/>
      <c r="CN9" s="434">
        <v>7150</v>
      </c>
      <c r="CO9" s="435"/>
      <c r="CP9" s="434">
        <v>6500</v>
      </c>
      <c r="CQ9" s="435"/>
      <c r="CR9" s="504">
        <v>7150</v>
      </c>
      <c r="CS9" s="616">
        <f t="shared" si="0"/>
        <v>83850</v>
      </c>
    </row>
    <row r="10" spans="1:97" ht="12" customHeight="1">
      <c r="A10" s="472" t="s">
        <v>232</v>
      </c>
      <c r="B10" s="385">
        <v>1210</v>
      </c>
      <c r="C10" s="386"/>
      <c r="D10" s="386"/>
      <c r="E10" s="386"/>
      <c r="F10" s="386"/>
      <c r="G10" s="386"/>
      <c r="H10" s="386"/>
      <c r="I10" s="387"/>
      <c r="J10" s="385"/>
      <c r="K10" s="386"/>
      <c r="L10" s="386"/>
      <c r="M10" s="386">
        <v>400</v>
      </c>
      <c r="N10" s="386"/>
      <c r="O10" s="473">
        <f>SUM(E10:N10)</f>
        <v>400</v>
      </c>
      <c r="P10" s="411"/>
      <c r="Q10" s="516" t="s">
        <v>232</v>
      </c>
      <c r="R10" s="493">
        <v>6940</v>
      </c>
      <c r="S10" s="434"/>
      <c r="T10" s="435"/>
      <c r="U10" s="434"/>
      <c r="V10" s="435"/>
      <c r="W10" s="434"/>
      <c r="X10" s="437"/>
      <c r="Y10" s="434"/>
      <c r="Z10" s="437"/>
      <c r="AA10" s="434"/>
      <c r="AB10" s="437"/>
      <c r="AC10" s="434">
        <f>6940*0.2</f>
        <v>1388</v>
      </c>
      <c r="AD10" s="562"/>
      <c r="AE10" s="568"/>
      <c r="AF10" s="579"/>
      <c r="AG10" s="498"/>
      <c r="AH10" s="437"/>
      <c r="AI10" s="434"/>
      <c r="AJ10" s="437"/>
      <c r="AK10" s="434"/>
      <c r="AL10" s="437"/>
      <c r="AM10" s="434"/>
      <c r="AN10" s="437"/>
      <c r="AO10" s="504"/>
      <c r="AP10" s="610">
        <f t="shared" si="1"/>
        <v>1388</v>
      </c>
      <c r="AQ10" s="587"/>
      <c r="AR10" s="550" t="s">
        <v>232</v>
      </c>
      <c r="AS10" s="493">
        <v>6940</v>
      </c>
      <c r="AT10" s="434" t="s">
        <v>216</v>
      </c>
      <c r="AU10" s="435"/>
      <c r="AV10" s="434"/>
      <c r="AW10" s="437"/>
      <c r="AX10" s="434"/>
      <c r="AY10" s="437"/>
      <c r="AZ10" s="434">
        <f>6940-1388</f>
        <v>5552</v>
      </c>
      <c r="BA10" s="437"/>
      <c r="BB10" s="434"/>
      <c r="BC10" s="437"/>
      <c r="BD10" s="434">
        <f>6940*0.2</f>
        <v>1388</v>
      </c>
      <c r="BE10" s="437"/>
      <c r="BF10" s="434"/>
      <c r="BG10" s="437"/>
      <c r="BH10" s="434"/>
      <c r="BI10" s="437"/>
      <c r="BJ10" s="434"/>
      <c r="BK10" s="437"/>
      <c r="BL10" s="434"/>
      <c r="BM10" s="437"/>
      <c r="BN10" s="434"/>
      <c r="BO10" s="437"/>
      <c r="BP10" s="504"/>
      <c r="BQ10" s="610">
        <f>SUM(AT10:BP10)</f>
        <v>6940</v>
      </c>
      <c r="BR10" s="589"/>
      <c r="BS10" s="590"/>
      <c r="BT10" s="539" t="s">
        <v>232</v>
      </c>
      <c r="BU10" s="493">
        <v>8920</v>
      </c>
      <c r="BV10" s="434" t="s">
        <v>216</v>
      </c>
      <c r="BW10" s="435"/>
      <c r="BX10" s="434"/>
      <c r="BY10" s="437"/>
      <c r="BZ10" s="434"/>
      <c r="CA10" s="437"/>
      <c r="CB10" s="434">
        <f>6940-1388</f>
        <v>5552</v>
      </c>
      <c r="CC10" s="437"/>
      <c r="CD10" s="434"/>
      <c r="CE10" s="437"/>
      <c r="CF10" s="434">
        <f>8920*0.2</f>
        <v>1784</v>
      </c>
      <c r="CG10" s="437"/>
      <c r="CH10" s="434"/>
      <c r="CI10" s="437"/>
      <c r="CJ10" s="434"/>
      <c r="CK10" s="437"/>
      <c r="CL10" s="434"/>
      <c r="CM10" s="437"/>
      <c r="CN10" s="434"/>
      <c r="CO10" s="437"/>
      <c r="CP10" s="434"/>
      <c r="CQ10" s="437"/>
      <c r="CR10" s="504"/>
      <c r="CS10" s="616">
        <f>SUM(BV10:CR10)</f>
        <v>7336</v>
      </c>
    </row>
    <row r="11" spans="1:97" ht="12" customHeight="1">
      <c r="A11" s="472" t="s">
        <v>233</v>
      </c>
      <c r="B11" s="385">
        <v>5180</v>
      </c>
      <c r="C11" s="386"/>
      <c r="D11" s="386"/>
      <c r="E11" s="386"/>
      <c r="F11" s="386"/>
      <c r="G11" s="386"/>
      <c r="H11" s="386"/>
      <c r="I11" s="387"/>
      <c r="J11" s="385"/>
      <c r="K11" s="386"/>
      <c r="L11" s="386"/>
      <c r="M11" s="386"/>
      <c r="N11" s="386"/>
      <c r="O11" s="473">
        <f t="shared" ref="O11:O19" si="2">SUM(E11:N11)</f>
        <v>0</v>
      </c>
      <c r="P11" s="411"/>
      <c r="Q11" s="516" t="s">
        <v>234</v>
      </c>
      <c r="R11" s="493">
        <v>12500</v>
      </c>
      <c r="S11" s="434"/>
      <c r="T11" s="435"/>
      <c r="U11" s="434"/>
      <c r="V11" s="435"/>
      <c r="W11" s="436"/>
      <c r="X11" s="437"/>
      <c r="Y11" s="438"/>
      <c r="Z11" s="437"/>
      <c r="AA11" s="438"/>
      <c r="AB11" s="437"/>
      <c r="AC11" s="434">
        <v>4767</v>
      </c>
      <c r="AD11" s="562"/>
      <c r="AE11" s="568"/>
      <c r="AF11" s="579"/>
      <c r="AG11" s="498"/>
      <c r="AH11" s="437"/>
      <c r="AI11" s="434"/>
      <c r="AJ11" s="437"/>
      <c r="AK11" s="434"/>
      <c r="AL11" s="437"/>
      <c r="AM11" s="434"/>
      <c r="AN11" s="437"/>
      <c r="AO11" s="504">
        <v>6250</v>
      </c>
      <c r="AP11" s="610">
        <f>S11+U11+W11+Y11+AA11+AC11+AE11+AG11+AI11+AK11+AM11+AO11</f>
        <v>11017</v>
      </c>
      <c r="AQ11" s="587"/>
      <c r="AR11" s="550" t="s">
        <v>234</v>
      </c>
      <c r="AS11" s="493">
        <v>15000</v>
      </c>
      <c r="AT11" s="434"/>
      <c r="AU11" s="435"/>
      <c r="AV11" s="434"/>
      <c r="AW11" s="437"/>
      <c r="AX11" s="434"/>
      <c r="AY11" s="437"/>
      <c r="AZ11" s="434"/>
      <c r="BA11" s="437"/>
      <c r="BB11" s="434">
        <v>6250</v>
      </c>
      <c r="BC11" s="437"/>
      <c r="BD11" s="434"/>
      <c r="BE11" s="437"/>
      <c r="BF11" s="434"/>
      <c r="BG11" s="437"/>
      <c r="BH11" s="434"/>
      <c r="BI11" s="437"/>
      <c r="BJ11" s="434"/>
      <c r="BK11" s="437"/>
      <c r="BL11" s="434">
        <v>7500</v>
      </c>
      <c r="BM11" s="437"/>
      <c r="BN11" s="434"/>
      <c r="BO11" s="437"/>
      <c r="BP11" s="504"/>
      <c r="BQ11" s="610">
        <f>AT11+AV11+AZ11+BB11+BD11+BF11+BH11+BJ11+BL11+BN11+BP11+AX11</f>
        <v>13750</v>
      </c>
      <c r="BR11" s="589"/>
      <c r="BS11" s="590"/>
      <c r="BT11" s="539" t="s">
        <v>234</v>
      </c>
      <c r="BU11" s="493">
        <v>15000</v>
      </c>
      <c r="BV11" s="434"/>
      <c r="BW11" s="435"/>
      <c r="BX11" s="434"/>
      <c r="BY11" s="437"/>
      <c r="BZ11" s="434"/>
      <c r="CA11" s="437"/>
      <c r="CB11" s="434"/>
      <c r="CC11" s="437"/>
      <c r="CD11" s="434"/>
      <c r="CE11" s="437"/>
      <c r="CF11" s="434">
        <v>7500</v>
      </c>
      <c r="CG11" s="437"/>
      <c r="CH11" s="434"/>
      <c r="CI11" s="437"/>
      <c r="CJ11" s="434"/>
      <c r="CK11" s="437"/>
      <c r="CL11" s="434"/>
      <c r="CM11" s="437"/>
      <c r="CN11" s="434">
        <v>7500</v>
      </c>
      <c r="CO11" s="437"/>
      <c r="CP11" s="434"/>
      <c r="CQ11" s="437"/>
      <c r="CR11" s="504"/>
      <c r="CS11" s="616">
        <f t="shared" si="0"/>
        <v>15000</v>
      </c>
    </row>
    <row r="12" spans="1:97" ht="12" customHeight="1">
      <c r="A12" s="472" t="s">
        <v>236</v>
      </c>
      <c r="B12" s="385">
        <v>3500</v>
      </c>
      <c r="C12" s="386"/>
      <c r="D12" s="386"/>
      <c r="E12" s="386"/>
      <c r="F12" s="386"/>
      <c r="G12" s="386"/>
      <c r="H12" s="386"/>
      <c r="I12" s="387"/>
      <c r="J12" s="385">
        <v>1750</v>
      </c>
      <c r="K12" s="386"/>
      <c r="L12" s="386"/>
      <c r="M12" s="386"/>
      <c r="N12" s="386"/>
      <c r="O12" s="473">
        <f>SUM(I12:N12)</f>
        <v>1750</v>
      </c>
      <c r="P12" s="411"/>
      <c r="Q12" s="516" t="s">
        <v>237</v>
      </c>
      <c r="R12" s="493">
        <v>10000</v>
      </c>
      <c r="S12" s="434"/>
      <c r="T12" s="435"/>
      <c r="U12" s="434"/>
      <c r="V12" s="435"/>
      <c r="W12" s="434">
        <v>1750</v>
      </c>
      <c r="X12" s="437"/>
      <c r="Y12" s="436"/>
      <c r="Z12" s="437"/>
      <c r="AA12" s="434"/>
      <c r="AB12" s="437"/>
      <c r="AC12" s="434">
        <v>5000</v>
      </c>
      <c r="AD12" s="562"/>
      <c r="AE12" s="568"/>
      <c r="AF12" s="579"/>
      <c r="AG12" s="498"/>
      <c r="AH12" s="437"/>
      <c r="AI12" s="434"/>
      <c r="AJ12" s="437"/>
      <c r="AK12" s="434"/>
      <c r="AL12" s="437"/>
      <c r="AM12" s="434"/>
      <c r="AN12" s="437"/>
      <c r="AO12" s="504"/>
      <c r="AP12" s="610">
        <f t="shared" si="1"/>
        <v>6750</v>
      </c>
      <c r="AQ12" s="587"/>
      <c r="AR12" s="550" t="s">
        <v>237</v>
      </c>
      <c r="AS12" s="493">
        <v>7000</v>
      </c>
      <c r="AT12" s="434"/>
      <c r="AU12" s="435"/>
      <c r="AV12" s="434"/>
      <c r="AW12" s="437"/>
      <c r="AX12" s="434"/>
      <c r="AY12" s="437"/>
      <c r="AZ12" s="434">
        <v>5000</v>
      </c>
      <c r="BA12" s="437"/>
      <c r="BB12" s="434"/>
      <c r="BC12" s="437"/>
      <c r="BD12" s="434">
        <v>3500</v>
      </c>
      <c r="BE12" s="437"/>
      <c r="BF12" s="434"/>
      <c r="BG12" s="437"/>
      <c r="BH12" s="434"/>
      <c r="BI12" s="437"/>
      <c r="BJ12" s="434"/>
      <c r="BK12" s="437"/>
      <c r="BL12" s="434"/>
      <c r="BM12" s="437"/>
      <c r="BN12" s="434"/>
      <c r="BO12" s="437"/>
      <c r="BP12" s="504"/>
      <c r="BQ12" s="610">
        <f>AT12+AV12+AZ12+BB12+BD12+BF12+BH12+BJ12+BL12+BN12+BP12+AX12</f>
        <v>8500</v>
      </c>
      <c r="BR12" s="589"/>
      <c r="BS12" s="590"/>
      <c r="BT12" s="539" t="s">
        <v>237</v>
      </c>
      <c r="BU12" s="493">
        <v>9000</v>
      </c>
      <c r="BV12" s="434"/>
      <c r="BW12" s="435"/>
      <c r="BX12" s="434">
        <v>5000</v>
      </c>
      <c r="BY12" s="437"/>
      <c r="BZ12" s="434"/>
      <c r="CA12" s="437"/>
      <c r="CB12" s="434">
        <v>4500</v>
      </c>
      <c r="CC12" s="437"/>
      <c r="CD12" s="434"/>
      <c r="CE12" s="437"/>
      <c r="CF12" s="434"/>
      <c r="CG12" s="437"/>
      <c r="CH12" s="434"/>
      <c r="CI12" s="437"/>
      <c r="CJ12" s="434"/>
      <c r="CK12" s="437"/>
      <c r="CL12" s="434"/>
      <c r="CM12" s="437"/>
      <c r="CN12" s="434"/>
      <c r="CO12" s="437"/>
      <c r="CP12" s="434"/>
      <c r="CQ12" s="437"/>
      <c r="CR12" s="504"/>
      <c r="CS12" s="616">
        <f>BV12+BX12+CB12+CD12+CF12+CH12+CJ12+CL12+CN12+CP12+CR12+BZ12</f>
        <v>9500</v>
      </c>
    </row>
    <row r="13" spans="1:97" ht="12" customHeight="1">
      <c r="A13" s="472" t="s">
        <v>238</v>
      </c>
      <c r="B13" s="385">
        <v>9000</v>
      </c>
      <c r="C13" s="386"/>
      <c r="D13" s="386"/>
      <c r="E13" s="386"/>
      <c r="F13" s="386"/>
      <c r="G13" s="386"/>
      <c r="H13" s="390"/>
      <c r="I13" s="387"/>
      <c r="J13" s="385"/>
      <c r="K13" s="390"/>
      <c r="L13" s="390"/>
      <c r="M13" s="386"/>
      <c r="N13" s="386">
        <v>6500</v>
      </c>
      <c r="O13" s="473">
        <f t="shared" si="2"/>
        <v>6500</v>
      </c>
      <c r="P13" s="411"/>
      <c r="Q13" s="516" t="s">
        <v>181</v>
      </c>
      <c r="R13" s="493">
        <v>7500</v>
      </c>
      <c r="S13" s="434"/>
      <c r="T13" s="435"/>
      <c r="U13" s="439"/>
      <c r="V13" s="435"/>
      <c r="W13" s="434">
        <v>4500</v>
      </c>
      <c r="X13" s="437"/>
      <c r="Y13" s="436"/>
      <c r="Z13" s="437"/>
      <c r="AA13" s="434"/>
      <c r="AB13" s="437"/>
      <c r="AC13" s="434"/>
      <c r="AD13" s="562"/>
      <c r="AE13" s="568"/>
      <c r="AF13" s="579"/>
      <c r="AG13" s="498"/>
      <c r="AH13" s="437"/>
      <c r="AI13" s="434"/>
      <c r="AJ13" s="437"/>
      <c r="AK13" s="434">
        <v>3000</v>
      </c>
      <c r="AL13" s="437"/>
      <c r="AM13" s="434"/>
      <c r="AN13" s="437"/>
      <c r="AO13" s="504"/>
      <c r="AP13" s="610">
        <f t="shared" si="1"/>
        <v>7500</v>
      </c>
      <c r="AQ13" s="587"/>
      <c r="AR13" s="550" t="s">
        <v>181</v>
      </c>
      <c r="AS13" s="493">
        <v>3500</v>
      </c>
      <c r="AT13" s="434"/>
      <c r="AU13" s="435"/>
      <c r="AV13" s="439"/>
      <c r="AW13" s="437"/>
      <c r="AX13" s="434"/>
      <c r="AY13" s="437"/>
      <c r="AZ13" s="434">
        <v>4500</v>
      </c>
      <c r="BA13" s="437"/>
      <c r="BB13" s="434"/>
      <c r="BC13" s="437"/>
      <c r="BD13" s="434"/>
      <c r="BE13" s="437"/>
      <c r="BF13" s="434"/>
      <c r="BG13" s="437"/>
      <c r="BH13" s="434"/>
      <c r="BI13" s="437"/>
      <c r="BJ13" s="434"/>
      <c r="BK13" s="437"/>
      <c r="BL13" s="434">
        <v>1750</v>
      </c>
      <c r="BM13" s="437"/>
      <c r="BN13" s="434"/>
      <c r="BO13" s="437"/>
      <c r="BP13" s="504"/>
      <c r="BQ13" s="610">
        <f>AT13+AV13+AZ13+BB13+BD13+BF13+BH13+BJ13+BL13+BN13+BP13+AX13</f>
        <v>6250</v>
      </c>
      <c r="BR13" s="589"/>
      <c r="BS13" s="590"/>
      <c r="BT13" s="539" t="s">
        <v>181</v>
      </c>
      <c r="BU13" s="493"/>
      <c r="BV13" s="434"/>
      <c r="BW13" s="435"/>
      <c r="BX13" s="439"/>
      <c r="BY13" s="437"/>
      <c r="BZ13" s="434">
        <v>1750</v>
      </c>
      <c r="CA13" s="437"/>
      <c r="CB13" s="434"/>
      <c r="CC13" s="437"/>
      <c r="CD13" s="434"/>
      <c r="CE13" s="437"/>
      <c r="CF13" s="434"/>
      <c r="CG13" s="437"/>
      <c r="CH13" s="434"/>
      <c r="CI13" s="437"/>
      <c r="CJ13" s="434"/>
      <c r="CK13" s="437"/>
      <c r="CL13" s="434"/>
      <c r="CM13" s="437"/>
      <c r="CN13" s="434"/>
      <c r="CO13" s="437"/>
      <c r="CP13" s="434"/>
      <c r="CQ13" s="437"/>
      <c r="CR13" s="504"/>
      <c r="CS13" s="616">
        <f t="shared" si="0"/>
        <v>1750</v>
      </c>
    </row>
    <row r="14" spans="1:97" ht="12" customHeight="1">
      <c r="A14" s="472" t="s">
        <v>239</v>
      </c>
      <c r="B14" s="391"/>
      <c r="C14" s="386"/>
      <c r="D14" s="386"/>
      <c r="E14" s="386"/>
      <c r="F14" s="386"/>
      <c r="G14" s="386"/>
      <c r="H14" s="386"/>
      <c r="I14" s="387"/>
      <c r="J14" s="385"/>
      <c r="K14" s="386"/>
      <c r="L14" s="386"/>
      <c r="M14" s="386"/>
      <c r="N14" s="390"/>
      <c r="O14" s="473">
        <f t="shared" si="2"/>
        <v>0</v>
      </c>
      <c r="P14" s="411"/>
      <c r="Q14" s="516" t="s">
        <v>240</v>
      </c>
      <c r="R14" s="494"/>
      <c r="S14" s="434" t="s">
        <v>216</v>
      </c>
      <c r="T14" s="435"/>
      <c r="U14" s="434"/>
      <c r="V14" s="435">
        <v>67</v>
      </c>
      <c r="W14" s="434"/>
      <c r="X14" s="437"/>
      <c r="Y14" s="433"/>
      <c r="Z14" s="440"/>
      <c r="AA14" s="434"/>
      <c r="AB14" s="437"/>
      <c r="AC14" s="434"/>
      <c r="AD14" s="562"/>
      <c r="AE14" s="569"/>
      <c r="AF14" s="580"/>
      <c r="AG14" s="498"/>
      <c r="AH14" s="437"/>
      <c r="AI14" s="434"/>
      <c r="AJ14" s="437"/>
      <c r="AK14" s="434"/>
      <c r="AL14" s="437"/>
      <c r="AM14" s="434"/>
      <c r="AN14" s="437"/>
      <c r="AO14" s="504"/>
      <c r="AP14" s="610"/>
      <c r="AQ14" s="587"/>
      <c r="AR14" s="550"/>
      <c r="AS14" s="494"/>
      <c r="AT14" s="434" t="s">
        <v>216</v>
      </c>
      <c r="AU14" s="435"/>
      <c r="AV14" s="434"/>
      <c r="AW14" s="437"/>
      <c r="AX14" s="434"/>
      <c r="AY14" s="437"/>
      <c r="AZ14" s="433"/>
      <c r="BA14" s="440"/>
      <c r="BB14" s="434"/>
      <c r="BC14" s="437"/>
      <c r="BD14" s="434"/>
      <c r="BE14" s="437"/>
      <c r="BF14" s="439"/>
      <c r="BG14" s="441"/>
      <c r="BH14" s="434"/>
      <c r="BI14" s="437"/>
      <c r="BJ14" s="434"/>
      <c r="BK14" s="437"/>
      <c r="BL14" s="434"/>
      <c r="BM14" s="437"/>
      <c r="BN14" s="434"/>
      <c r="BO14" s="437"/>
      <c r="BP14" s="504"/>
      <c r="BQ14" s="610">
        <f>SUM(AT14:BP14)</f>
        <v>0</v>
      </c>
      <c r="BR14" s="589"/>
      <c r="BS14" s="590"/>
      <c r="BT14" s="539"/>
      <c r="BU14" s="494"/>
      <c r="BV14" s="434" t="s">
        <v>216</v>
      </c>
      <c r="BW14" s="435"/>
      <c r="BX14" s="434"/>
      <c r="BY14" s="437"/>
      <c r="BZ14" s="434"/>
      <c r="CA14" s="437"/>
      <c r="CB14" s="433"/>
      <c r="CC14" s="440"/>
      <c r="CD14" s="434"/>
      <c r="CE14" s="437"/>
      <c r="CF14" s="434"/>
      <c r="CG14" s="437"/>
      <c r="CH14" s="439"/>
      <c r="CI14" s="441"/>
      <c r="CJ14" s="434"/>
      <c r="CK14" s="437"/>
      <c r="CL14" s="434"/>
      <c r="CM14" s="437"/>
      <c r="CN14" s="434"/>
      <c r="CO14" s="437"/>
      <c r="CP14" s="434"/>
      <c r="CQ14" s="437"/>
      <c r="CR14" s="504"/>
      <c r="CS14" s="616"/>
    </row>
    <row r="15" spans="1:97" ht="12" customHeight="1">
      <c r="A15" s="472"/>
      <c r="B15" s="391"/>
      <c r="C15" s="386"/>
      <c r="D15" s="386"/>
      <c r="E15" s="386"/>
      <c r="F15" s="386"/>
      <c r="G15" s="386"/>
      <c r="H15" s="386"/>
      <c r="I15" s="387"/>
      <c r="J15" s="385"/>
      <c r="K15" s="392"/>
      <c r="L15" s="386"/>
      <c r="M15" s="386"/>
      <c r="N15" s="386"/>
      <c r="O15" s="473">
        <f t="shared" si="2"/>
        <v>0</v>
      </c>
      <c r="P15" s="411"/>
      <c r="Q15" s="516"/>
      <c r="R15" s="493"/>
      <c r="S15" s="434"/>
      <c r="T15" s="435"/>
      <c r="U15" s="434"/>
      <c r="V15" s="435"/>
      <c r="W15" s="433"/>
      <c r="X15" s="437"/>
      <c r="Y15" s="433"/>
      <c r="Z15" s="440"/>
      <c r="AA15" s="434"/>
      <c r="AB15" s="437"/>
      <c r="AC15" s="434"/>
      <c r="AD15" s="562"/>
      <c r="AE15" s="568"/>
      <c r="AF15" s="579"/>
      <c r="AG15" s="498"/>
      <c r="AH15" s="437"/>
      <c r="AI15" s="434"/>
      <c r="AJ15" s="437"/>
      <c r="AK15" s="434"/>
      <c r="AL15" s="437"/>
      <c r="AM15" s="434"/>
      <c r="AN15" s="437"/>
      <c r="AO15" s="504"/>
      <c r="AP15" s="610">
        <f t="shared" si="1"/>
        <v>0</v>
      </c>
      <c r="AQ15" s="587"/>
      <c r="AR15" s="550"/>
      <c r="AS15" s="493"/>
      <c r="AT15" s="434"/>
      <c r="AU15" s="435"/>
      <c r="AV15" s="434"/>
      <c r="AW15" s="437"/>
      <c r="AX15" s="433"/>
      <c r="AY15" s="437"/>
      <c r="AZ15" s="433"/>
      <c r="BA15" s="440"/>
      <c r="BB15" s="434"/>
      <c r="BC15" s="437"/>
      <c r="BD15" s="434"/>
      <c r="BE15" s="437"/>
      <c r="BF15" s="434"/>
      <c r="BG15" s="437"/>
      <c r="BH15" s="434"/>
      <c r="BI15" s="437"/>
      <c r="BJ15" s="434"/>
      <c r="BK15" s="437"/>
      <c r="BL15" s="434"/>
      <c r="BM15" s="437"/>
      <c r="BN15" s="434"/>
      <c r="BO15" s="437"/>
      <c r="BP15" s="504"/>
      <c r="BQ15" s="610">
        <f>AT15+AV15+AZ15+BB15+BD15+BF15+BH15+BJ15+BL15+BN15+BP15+AX15</f>
        <v>0</v>
      </c>
      <c r="BR15" s="589"/>
      <c r="BS15" s="590"/>
      <c r="BT15" s="539"/>
      <c r="BU15" s="493"/>
      <c r="BV15" s="434"/>
      <c r="BW15" s="435"/>
      <c r="BX15" s="434"/>
      <c r="BY15" s="437"/>
      <c r="BZ15" s="433"/>
      <c r="CA15" s="437"/>
      <c r="CB15" s="433"/>
      <c r="CC15" s="440"/>
      <c r="CD15" s="434"/>
      <c r="CE15" s="437"/>
      <c r="CF15" s="434"/>
      <c r="CG15" s="437"/>
      <c r="CH15" s="434"/>
      <c r="CI15" s="437"/>
      <c r="CJ15" s="434"/>
      <c r="CK15" s="437"/>
      <c r="CL15" s="434"/>
      <c r="CM15" s="437"/>
      <c r="CN15" s="434"/>
      <c r="CO15" s="437"/>
      <c r="CP15" s="434"/>
      <c r="CQ15" s="437"/>
      <c r="CR15" s="504"/>
      <c r="CS15" s="616">
        <f>BV15+BX15+CB15+CD15+CF15+CH15+CJ15+CL15+CN15+CP15+CR15+BZ15</f>
        <v>0</v>
      </c>
    </row>
    <row r="16" spans="1:97" ht="12" customHeight="1">
      <c r="A16" s="474" t="s">
        <v>241</v>
      </c>
      <c r="B16" s="385">
        <v>300</v>
      </c>
      <c r="C16" s="386"/>
      <c r="D16" s="386"/>
      <c r="E16" s="386"/>
      <c r="F16" s="386"/>
      <c r="G16" s="386"/>
      <c r="H16" s="386"/>
      <c r="I16" s="387"/>
      <c r="J16" s="385"/>
      <c r="K16" s="392">
        <v>10</v>
      </c>
      <c r="L16" s="386"/>
      <c r="M16" s="386"/>
      <c r="N16" s="386"/>
      <c r="O16" s="473">
        <f t="shared" si="2"/>
        <v>10</v>
      </c>
      <c r="P16" s="411"/>
      <c r="Q16" s="517" t="s">
        <v>241</v>
      </c>
      <c r="R16" s="493">
        <v>300</v>
      </c>
      <c r="S16" s="434"/>
      <c r="T16" s="435"/>
      <c r="U16" s="434"/>
      <c r="V16" s="435"/>
      <c r="W16" s="434"/>
      <c r="X16" s="437"/>
      <c r="Y16" s="434"/>
      <c r="Z16" s="437"/>
      <c r="AA16" s="434">
        <v>200</v>
      </c>
      <c r="AB16" s="437"/>
      <c r="AC16" s="434"/>
      <c r="AD16" s="562"/>
      <c r="AE16" s="568"/>
      <c r="AF16" s="579"/>
      <c r="AG16" s="498"/>
      <c r="AH16" s="437"/>
      <c r="AI16" s="434"/>
      <c r="AJ16" s="437"/>
      <c r="AK16" s="434"/>
      <c r="AL16" s="437"/>
      <c r="AM16" s="434"/>
      <c r="AN16" s="437"/>
      <c r="AO16" s="504">
        <v>100</v>
      </c>
      <c r="AP16" s="610">
        <f t="shared" si="1"/>
        <v>300</v>
      </c>
      <c r="AQ16" s="587"/>
      <c r="AR16" s="550" t="s">
        <v>241</v>
      </c>
      <c r="AS16" s="493">
        <v>300</v>
      </c>
      <c r="AT16" s="434"/>
      <c r="AU16" s="435"/>
      <c r="AV16" s="434"/>
      <c r="AW16" s="437"/>
      <c r="AX16" s="434"/>
      <c r="AY16" s="437"/>
      <c r="AZ16" s="434"/>
      <c r="BA16" s="437"/>
      <c r="BB16" s="434">
        <v>200</v>
      </c>
      <c r="BC16" s="437"/>
      <c r="BD16" s="434"/>
      <c r="BE16" s="437"/>
      <c r="BF16" s="434"/>
      <c r="BG16" s="437"/>
      <c r="BH16" s="434"/>
      <c r="BI16" s="437"/>
      <c r="BJ16" s="434"/>
      <c r="BK16" s="437"/>
      <c r="BL16" s="434"/>
      <c r="BM16" s="437"/>
      <c r="BN16" s="434"/>
      <c r="BO16" s="437"/>
      <c r="BP16" s="504">
        <v>100</v>
      </c>
      <c r="BQ16" s="610">
        <f>AT16+AV16+AZ16+BB16+BD16+BF16+BH16+BJ16+BL16+BN16+BP16+AX16</f>
        <v>300</v>
      </c>
      <c r="BR16" s="589"/>
      <c r="BS16" s="590"/>
      <c r="BT16" s="539" t="s">
        <v>241</v>
      </c>
      <c r="BU16" s="493">
        <v>300</v>
      </c>
      <c r="BV16" s="434"/>
      <c r="BW16" s="435"/>
      <c r="BX16" s="434"/>
      <c r="BY16" s="437"/>
      <c r="BZ16" s="434"/>
      <c r="CA16" s="437"/>
      <c r="CB16" s="434"/>
      <c r="CC16" s="437"/>
      <c r="CD16" s="434">
        <v>200</v>
      </c>
      <c r="CE16" s="437"/>
      <c r="CF16" s="434"/>
      <c r="CG16" s="437"/>
      <c r="CH16" s="434"/>
      <c r="CI16" s="437"/>
      <c r="CJ16" s="434"/>
      <c r="CK16" s="437"/>
      <c r="CL16" s="434"/>
      <c r="CM16" s="437"/>
      <c r="CN16" s="434"/>
      <c r="CO16" s="437"/>
      <c r="CP16" s="434"/>
      <c r="CQ16" s="437"/>
      <c r="CR16" s="504">
        <v>100</v>
      </c>
      <c r="CS16" s="616">
        <f>BV16+BX16+CB16+CD16+CF16+CH16+CJ16+CL16+CN16+CP16+CR16+BZ16</f>
        <v>300</v>
      </c>
    </row>
    <row r="17" spans="1:97" ht="12" customHeight="1">
      <c r="A17" s="472" t="s">
        <v>242</v>
      </c>
      <c r="B17" s="385">
        <v>4000</v>
      </c>
      <c r="C17" s="386"/>
      <c r="D17" s="386"/>
      <c r="E17" s="386"/>
      <c r="F17" s="386"/>
      <c r="G17" s="386"/>
      <c r="H17" s="386"/>
      <c r="I17" s="387"/>
      <c r="J17" s="385">
        <v>1800</v>
      </c>
      <c r="K17" s="392"/>
      <c r="L17" s="386"/>
      <c r="M17" s="386"/>
      <c r="N17" s="386"/>
      <c r="O17" s="473">
        <f t="shared" si="2"/>
        <v>1800</v>
      </c>
      <c r="P17" s="411"/>
      <c r="Q17" s="516" t="s">
        <v>243</v>
      </c>
      <c r="R17" s="493">
        <v>6000</v>
      </c>
      <c r="S17" s="434"/>
      <c r="T17" s="435"/>
      <c r="U17" s="434"/>
      <c r="V17" s="435"/>
      <c r="W17" s="434"/>
      <c r="X17" s="437"/>
      <c r="Y17" s="434">
        <v>1800</v>
      </c>
      <c r="Z17" s="437"/>
      <c r="AA17" s="434"/>
      <c r="AB17" s="437"/>
      <c r="AC17" s="434"/>
      <c r="AD17" s="562"/>
      <c r="AE17" s="568"/>
      <c r="AF17" s="579"/>
      <c r="AG17" s="498"/>
      <c r="AH17" s="437"/>
      <c r="AI17" s="434"/>
      <c r="AJ17" s="437"/>
      <c r="AK17" s="434">
        <v>2400</v>
      </c>
      <c r="AL17" s="437"/>
      <c r="AM17" s="438"/>
      <c r="AN17" s="437"/>
      <c r="AO17" s="504"/>
      <c r="AP17" s="610">
        <f t="shared" si="1"/>
        <v>4200</v>
      </c>
      <c r="AQ17" s="587"/>
      <c r="AR17" s="550" t="s">
        <v>243</v>
      </c>
      <c r="AS17" s="493">
        <v>6000</v>
      </c>
      <c r="AT17" s="434"/>
      <c r="AU17" s="435"/>
      <c r="AV17" s="434">
        <f>1800+3000</f>
        <v>4800</v>
      </c>
      <c r="AW17" s="437"/>
      <c r="AX17" s="434"/>
      <c r="AY17" s="437"/>
      <c r="AZ17" s="434"/>
      <c r="BA17" s="437"/>
      <c r="BB17" s="434"/>
      <c r="BC17" s="437"/>
      <c r="BD17" s="434"/>
      <c r="BE17" s="437"/>
      <c r="BF17" s="434">
        <v>3000</v>
      </c>
      <c r="BG17" s="437"/>
      <c r="BH17" s="434"/>
      <c r="BI17" s="437"/>
      <c r="BJ17" s="434"/>
      <c r="BK17" s="437"/>
      <c r="BL17" s="434"/>
      <c r="BM17" s="437"/>
      <c r="BN17" s="434"/>
      <c r="BO17" s="437"/>
      <c r="BP17" s="504"/>
      <c r="BQ17" s="610">
        <f>AT17+AV17+AZ17+BB17+BD17+BF17+BH17+BJ17+BL17+BN17+BP17+AX17</f>
        <v>7800</v>
      </c>
      <c r="BR17" s="589"/>
      <c r="BS17" s="590"/>
      <c r="BT17" s="539" t="s">
        <v>244</v>
      </c>
      <c r="BU17" s="493">
        <v>5000</v>
      </c>
      <c r="BV17" s="434"/>
      <c r="BW17" s="435"/>
      <c r="BX17" s="434"/>
      <c r="BY17" s="437"/>
      <c r="BZ17" s="434">
        <v>1500</v>
      </c>
      <c r="CA17" s="437"/>
      <c r="CB17" s="434"/>
      <c r="CC17" s="437"/>
      <c r="CD17" s="434"/>
      <c r="CE17" s="437"/>
      <c r="CF17" s="434"/>
      <c r="CG17" s="437"/>
      <c r="CH17" s="434"/>
      <c r="CI17" s="437"/>
      <c r="CJ17" s="434">
        <v>3500</v>
      </c>
      <c r="CK17" s="437"/>
      <c r="CL17" s="434">
        <v>3500</v>
      </c>
      <c r="CM17" s="437"/>
      <c r="CN17" s="434"/>
      <c r="CO17" s="437"/>
      <c r="CP17" s="434"/>
      <c r="CQ17" s="437"/>
      <c r="CR17" s="504"/>
      <c r="CS17" s="616">
        <f>BV17+BX17+CB17+CD17+CF17+CH17+CJ17+CL17+CN17+CP17+CR17+BZ17</f>
        <v>8500</v>
      </c>
    </row>
    <row r="18" spans="1:97" ht="12" customHeight="1">
      <c r="A18" s="472" t="s">
        <v>108</v>
      </c>
      <c r="B18" s="385">
        <v>200</v>
      </c>
      <c r="C18" s="386"/>
      <c r="D18" s="386"/>
      <c r="E18" s="386"/>
      <c r="F18" s="386"/>
      <c r="G18" s="386"/>
      <c r="H18" s="386"/>
      <c r="I18" s="387"/>
      <c r="J18" s="385"/>
      <c r="K18" s="386"/>
      <c r="L18" s="386"/>
      <c r="M18" s="386"/>
      <c r="N18" s="386"/>
      <c r="O18" s="473">
        <f t="shared" si="2"/>
        <v>0</v>
      </c>
      <c r="P18" s="411"/>
      <c r="Q18" s="516" t="s">
        <v>108</v>
      </c>
      <c r="R18" s="493">
        <v>2500</v>
      </c>
      <c r="S18" s="434"/>
      <c r="T18" s="435"/>
      <c r="U18" s="434"/>
      <c r="V18" s="435">
        <v>195</v>
      </c>
      <c r="W18" s="434"/>
      <c r="X18" s="437"/>
      <c r="Y18" s="434"/>
      <c r="Z18" s="437"/>
      <c r="AA18" s="434"/>
      <c r="AB18" s="437"/>
      <c r="AC18" s="434">
        <v>500</v>
      </c>
      <c r="AD18" s="562"/>
      <c r="AE18" s="568"/>
      <c r="AF18" s="579"/>
      <c r="AG18" s="498"/>
      <c r="AH18" s="437"/>
      <c r="AI18" s="434">
        <v>500</v>
      </c>
      <c r="AJ18" s="437"/>
      <c r="AK18" s="434"/>
      <c r="AL18" s="437"/>
      <c r="AM18" s="434"/>
      <c r="AN18" s="437"/>
      <c r="AO18" s="504">
        <v>800</v>
      </c>
      <c r="AP18" s="610">
        <f t="shared" si="1"/>
        <v>1800</v>
      </c>
      <c r="AQ18" s="587"/>
      <c r="AR18" s="550" t="s">
        <v>108</v>
      </c>
      <c r="AS18" s="493">
        <v>2500</v>
      </c>
      <c r="AT18" s="434"/>
      <c r="AU18" s="435"/>
      <c r="AV18" s="434"/>
      <c r="AW18" s="437"/>
      <c r="AX18" s="434"/>
      <c r="AY18" s="437"/>
      <c r="AZ18" s="434"/>
      <c r="BA18" s="437"/>
      <c r="BB18" s="434"/>
      <c r="BC18" s="437"/>
      <c r="BD18" s="434">
        <v>1000</v>
      </c>
      <c r="BE18" s="437"/>
      <c r="BF18" s="434"/>
      <c r="BG18" s="437"/>
      <c r="BH18" s="434"/>
      <c r="BI18" s="437"/>
      <c r="BJ18" s="434">
        <v>500</v>
      </c>
      <c r="BK18" s="437"/>
      <c r="BL18" s="434"/>
      <c r="BM18" s="437"/>
      <c r="BN18" s="434"/>
      <c r="BO18" s="437"/>
      <c r="BP18" s="504">
        <v>800</v>
      </c>
      <c r="BQ18" s="610">
        <f>AT18+AV18+AZ18+BB18+BD18+BF18+BH18+BJ18+BL18+BN18+BP18+AX18</f>
        <v>2300</v>
      </c>
      <c r="BR18" s="589"/>
      <c r="BS18" s="590"/>
      <c r="BT18" s="539" t="s">
        <v>108</v>
      </c>
      <c r="BU18" s="493">
        <v>2500</v>
      </c>
      <c r="BV18" s="434"/>
      <c r="BW18" s="435"/>
      <c r="BX18" s="434"/>
      <c r="BY18" s="437"/>
      <c r="BZ18" s="434"/>
      <c r="CA18" s="437"/>
      <c r="CB18" s="434"/>
      <c r="CC18" s="437"/>
      <c r="CD18" s="434"/>
      <c r="CE18" s="437"/>
      <c r="CF18" s="434">
        <v>500</v>
      </c>
      <c r="CG18" s="437"/>
      <c r="CH18" s="434"/>
      <c r="CI18" s="437"/>
      <c r="CJ18" s="434"/>
      <c r="CK18" s="437"/>
      <c r="CL18" s="434">
        <v>500</v>
      </c>
      <c r="CM18" s="437"/>
      <c r="CN18" s="434"/>
      <c r="CO18" s="437"/>
      <c r="CP18" s="434"/>
      <c r="CQ18" s="437"/>
      <c r="CR18" s="504">
        <v>800</v>
      </c>
      <c r="CS18" s="616">
        <f>BV18+BX18+CB18+CD18+CF18+CH18+CJ18+CL18+CN18+CP18+CR18+BZ18</f>
        <v>1800</v>
      </c>
    </row>
    <row r="19" spans="1:97" ht="12" customHeight="1">
      <c r="A19" s="472" t="s">
        <v>245</v>
      </c>
      <c r="B19" s="393"/>
      <c r="C19" s="394"/>
      <c r="D19" s="394"/>
      <c r="E19" s="394"/>
      <c r="F19" s="394"/>
      <c r="G19" s="394"/>
      <c r="H19" s="394"/>
      <c r="I19" s="395"/>
      <c r="J19" s="396"/>
      <c r="K19" s="394"/>
      <c r="L19" s="394"/>
      <c r="M19" s="394"/>
      <c r="N19" s="394"/>
      <c r="O19" s="475">
        <f t="shared" si="2"/>
        <v>0</v>
      </c>
      <c r="P19" s="411"/>
      <c r="Q19" s="516" t="s">
        <v>246</v>
      </c>
      <c r="R19" s="493">
        <v>2414</v>
      </c>
      <c r="S19" s="434"/>
      <c r="T19" s="435"/>
      <c r="U19" s="434"/>
      <c r="V19" s="435"/>
      <c r="W19" s="434"/>
      <c r="X19" s="437"/>
      <c r="Y19" s="434"/>
      <c r="Z19" s="437"/>
      <c r="AA19" s="439"/>
      <c r="AB19" s="441"/>
      <c r="AC19" s="434">
        <v>500</v>
      </c>
      <c r="AD19" s="562"/>
      <c r="AE19" s="568"/>
      <c r="AF19" s="579"/>
      <c r="AG19" s="498"/>
      <c r="AH19" s="437"/>
      <c r="AI19" s="434"/>
      <c r="AJ19" s="437"/>
      <c r="AK19" s="434"/>
      <c r="AL19" s="437"/>
      <c r="AM19" s="434"/>
      <c r="AN19" s="437"/>
      <c r="AO19" s="504"/>
      <c r="AP19" s="610">
        <f t="shared" si="1"/>
        <v>500</v>
      </c>
      <c r="AQ19" s="587"/>
      <c r="AR19" s="550" t="s">
        <v>246</v>
      </c>
      <c r="AS19" s="493">
        <v>2414</v>
      </c>
      <c r="AT19" s="434"/>
      <c r="AU19" s="435"/>
      <c r="AV19" s="434"/>
      <c r="AW19" s="437"/>
      <c r="AX19" s="434"/>
      <c r="AY19" s="437"/>
      <c r="AZ19" s="434"/>
      <c r="BA19" s="437"/>
      <c r="BB19" s="439"/>
      <c r="BC19" s="441"/>
      <c r="BD19" s="434">
        <v>600</v>
      </c>
      <c r="BE19" s="437"/>
      <c r="BF19" s="434"/>
      <c r="BG19" s="437"/>
      <c r="BH19" s="434"/>
      <c r="BI19" s="437"/>
      <c r="BJ19" s="434"/>
      <c r="BK19" s="437"/>
      <c r="BL19" s="434"/>
      <c r="BM19" s="437"/>
      <c r="BN19" s="434"/>
      <c r="BO19" s="437"/>
      <c r="BP19" s="504"/>
      <c r="BQ19" s="610">
        <f>AT19+AV19+AZ19+BB19+BD19+BF19+BH19+BJ19+BL19+BN19+BP19+AX19</f>
        <v>600</v>
      </c>
      <c r="BR19" s="589"/>
      <c r="BS19" s="590"/>
      <c r="BT19" s="539" t="s">
        <v>246</v>
      </c>
      <c r="BU19" s="493">
        <v>2414</v>
      </c>
      <c r="BV19" s="434"/>
      <c r="BW19" s="435"/>
      <c r="BX19" s="434"/>
      <c r="BY19" s="437"/>
      <c r="BZ19" s="434"/>
      <c r="CA19" s="437"/>
      <c r="CB19" s="434"/>
      <c r="CC19" s="437"/>
      <c r="CD19" s="439"/>
      <c r="CE19" s="441"/>
      <c r="CF19" s="434">
        <v>600</v>
      </c>
      <c r="CG19" s="437"/>
      <c r="CH19" s="434"/>
      <c r="CI19" s="437"/>
      <c r="CJ19" s="434"/>
      <c r="CK19" s="437"/>
      <c r="CL19" s="434"/>
      <c r="CM19" s="437"/>
      <c r="CN19" s="434"/>
      <c r="CO19" s="437"/>
      <c r="CP19" s="434"/>
      <c r="CQ19" s="437"/>
      <c r="CR19" s="504"/>
      <c r="CS19" s="616">
        <f>BV19+BX19+CB19+CD19+CF19+CH19+CJ19+CL19+CN19+CP19+CR19+BZ19</f>
        <v>600</v>
      </c>
    </row>
    <row r="20" spans="1:97" ht="12" customHeight="1">
      <c r="A20" s="472"/>
      <c r="B20" s="393"/>
      <c r="C20" s="394"/>
      <c r="D20" s="394"/>
      <c r="E20" s="394"/>
      <c r="F20" s="394"/>
      <c r="G20" s="394"/>
      <c r="H20" s="394"/>
      <c r="I20" s="395"/>
      <c r="J20" s="396"/>
      <c r="K20" s="394"/>
      <c r="L20" s="394"/>
      <c r="M20" s="394"/>
      <c r="N20" s="394"/>
      <c r="O20" s="475"/>
      <c r="P20" s="411"/>
      <c r="Q20" s="516"/>
      <c r="R20" s="493"/>
      <c r="S20" s="434"/>
      <c r="T20" s="435"/>
      <c r="U20" s="434"/>
      <c r="V20" s="435"/>
      <c r="W20" s="434"/>
      <c r="X20" s="437"/>
      <c r="Y20" s="434"/>
      <c r="Z20" s="437"/>
      <c r="AA20" s="439"/>
      <c r="AB20" s="441"/>
      <c r="AC20" s="434"/>
      <c r="AD20" s="562"/>
      <c r="AE20" s="568"/>
      <c r="AF20" s="579"/>
      <c r="AG20" s="498"/>
      <c r="AH20" s="437"/>
      <c r="AI20" s="434"/>
      <c r="AJ20" s="437"/>
      <c r="AK20" s="434"/>
      <c r="AL20" s="437"/>
      <c r="AM20" s="434"/>
      <c r="AN20" s="437"/>
      <c r="AO20" s="504"/>
      <c r="AP20" s="610"/>
      <c r="AQ20" s="587"/>
      <c r="AR20" s="550"/>
      <c r="AS20" s="493"/>
      <c r="AT20" s="434"/>
      <c r="AU20" s="435"/>
      <c r="AV20" s="434"/>
      <c r="AW20" s="437"/>
      <c r="AX20" s="434"/>
      <c r="AY20" s="437"/>
      <c r="AZ20" s="434"/>
      <c r="BA20" s="437"/>
      <c r="BB20" s="439"/>
      <c r="BC20" s="441"/>
      <c r="BD20" s="434"/>
      <c r="BE20" s="437"/>
      <c r="BF20" s="434"/>
      <c r="BG20" s="437"/>
      <c r="BH20" s="434"/>
      <c r="BI20" s="437"/>
      <c r="BJ20" s="434"/>
      <c r="BK20" s="437"/>
      <c r="BL20" s="434"/>
      <c r="BM20" s="437"/>
      <c r="BN20" s="434"/>
      <c r="BO20" s="437"/>
      <c r="BP20" s="504"/>
      <c r="BQ20" s="610"/>
      <c r="BR20" s="589"/>
      <c r="BS20" s="590"/>
      <c r="BT20" s="539"/>
      <c r="BU20" s="493"/>
      <c r="BV20" s="434"/>
      <c r="BW20" s="435"/>
      <c r="BX20" s="434"/>
      <c r="BY20" s="437"/>
      <c r="BZ20" s="434"/>
      <c r="CA20" s="437"/>
      <c r="CB20" s="434"/>
      <c r="CC20" s="437"/>
      <c r="CD20" s="439"/>
      <c r="CE20" s="441"/>
      <c r="CF20" s="434"/>
      <c r="CG20" s="437"/>
      <c r="CH20" s="434"/>
      <c r="CI20" s="437"/>
      <c r="CJ20" s="434"/>
      <c r="CK20" s="437"/>
      <c r="CL20" s="434"/>
      <c r="CM20" s="437"/>
      <c r="CN20" s="434"/>
      <c r="CO20" s="437"/>
      <c r="CP20" s="434"/>
      <c r="CQ20" s="437"/>
      <c r="CR20" s="504"/>
      <c r="CS20" s="616"/>
    </row>
    <row r="21" spans="1:97" ht="12" customHeight="1">
      <c r="A21" s="472"/>
      <c r="B21" s="393"/>
      <c r="C21" s="394"/>
      <c r="D21" s="394"/>
      <c r="E21" s="394"/>
      <c r="F21" s="394"/>
      <c r="G21" s="394"/>
      <c r="H21" s="394"/>
      <c r="I21" s="395"/>
      <c r="J21" s="396"/>
      <c r="K21" s="394"/>
      <c r="L21" s="394"/>
      <c r="M21" s="394"/>
      <c r="N21" s="394"/>
      <c r="O21" s="475"/>
      <c r="P21" s="411"/>
      <c r="Q21" s="516" t="s">
        <v>247</v>
      </c>
      <c r="R21" s="493"/>
      <c r="S21" s="434"/>
      <c r="T21" s="435"/>
      <c r="U21" s="434"/>
      <c r="V21" s="435"/>
      <c r="W21" s="434"/>
      <c r="X21" s="437"/>
      <c r="Y21" s="434"/>
      <c r="Z21" s="437"/>
      <c r="AA21" s="439"/>
      <c r="AB21" s="441"/>
      <c r="AC21" s="434">
        <v>7000</v>
      </c>
      <c r="AD21" s="562"/>
      <c r="AE21" s="568"/>
      <c r="AF21" s="579"/>
      <c r="AG21" s="498"/>
      <c r="AH21" s="437"/>
      <c r="AI21" s="434"/>
      <c r="AJ21" s="437"/>
      <c r="AK21" s="434">
        <v>3000</v>
      </c>
      <c r="AL21" s="437"/>
      <c r="AM21" s="434"/>
      <c r="AN21" s="437"/>
      <c r="AO21" s="504"/>
      <c r="AP21" s="610"/>
      <c r="AQ21" s="587"/>
      <c r="AR21" s="550"/>
      <c r="AS21" s="493"/>
      <c r="AT21" s="434"/>
      <c r="AU21" s="435"/>
      <c r="AV21" s="434"/>
      <c r="AW21" s="437"/>
      <c r="AX21" s="434"/>
      <c r="AY21" s="437"/>
      <c r="AZ21" s="434"/>
      <c r="BA21" s="437"/>
      <c r="BB21" s="439"/>
      <c r="BC21" s="441"/>
      <c r="BD21" s="434"/>
      <c r="BE21" s="437"/>
      <c r="BF21" s="434"/>
      <c r="BG21" s="437"/>
      <c r="BH21" s="434"/>
      <c r="BI21" s="437"/>
      <c r="BJ21" s="434"/>
      <c r="BK21" s="437"/>
      <c r="BL21" s="434"/>
      <c r="BM21" s="437"/>
      <c r="BN21" s="434"/>
      <c r="BO21" s="437"/>
      <c r="BP21" s="504"/>
      <c r="BQ21" s="610"/>
      <c r="BR21" s="589"/>
      <c r="BS21" s="590"/>
      <c r="BT21" s="539"/>
      <c r="BU21" s="493"/>
      <c r="BV21" s="434"/>
      <c r="BW21" s="435"/>
      <c r="BX21" s="434"/>
      <c r="BY21" s="437"/>
      <c r="BZ21" s="434"/>
      <c r="CA21" s="437"/>
      <c r="CB21" s="434"/>
      <c r="CC21" s="437"/>
      <c r="CD21" s="439"/>
      <c r="CE21" s="441"/>
      <c r="CF21" s="434"/>
      <c r="CG21" s="437"/>
      <c r="CH21" s="434"/>
      <c r="CI21" s="437"/>
      <c r="CJ21" s="434"/>
      <c r="CK21" s="437"/>
      <c r="CL21" s="434"/>
      <c r="CM21" s="437"/>
      <c r="CN21" s="434"/>
      <c r="CO21" s="437"/>
      <c r="CP21" s="434"/>
      <c r="CQ21" s="437"/>
      <c r="CR21" s="504"/>
      <c r="CS21" s="616"/>
    </row>
    <row r="22" spans="1:97" ht="12" customHeight="1">
      <c r="A22" s="472"/>
      <c r="B22" s="393"/>
      <c r="C22" s="394"/>
      <c r="D22" s="394"/>
      <c r="E22" s="394"/>
      <c r="F22" s="394"/>
      <c r="G22" s="394"/>
      <c r="H22" s="394"/>
      <c r="I22" s="395"/>
      <c r="J22" s="396"/>
      <c r="K22" s="394"/>
      <c r="L22" s="394"/>
      <c r="M22" s="394"/>
      <c r="N22" s="394"/>
      <c r="O22" s="475"/>
      <c r="P22" s="411"/>
      <c r="Q22" s="516" t="s">
        <v>248</v>
      </c>
      <c r="R22" s="493"/>
      <c r="S22" s="434"/>
      <c r="T22" s="435"/>
      <c r="U22" s="434"/>
      <c r="V22" s="435"/>
      <c r="W22" s="434"/>
      <c r="X22" s="437"/>
      <c r="Y22" s="434"/>
      <c r="Z22" s="437"/>
      <c r="AA22" s="439"/>
      <c r="AB22" s="441"/>
      <c r="AC22" s="434"/>
      <c r="AD22" s="562"/>
      <c r="AE22" s="568"/>
      <c r="AF22" s="579"/>
      <c r="AG22" s="498">
        <v>14000</v>
      </c>
      <c r="AH22" s="437"/>
      <c r="AI22" s="434"/>
      <c r="AJ22" s="437"/>
      <c r="AK22" s="434"/>
      <c r="AL22" s="437"/>
      <c r="AM22" s="434"/>
      <c r="AN22" s="437"/>
      <c r="AO22" s="504"/>
      <c r="AP22" s="610"/>
      <c r="AQ22" s="587"/>
      <c r="AR22" s="550"/>
      <c r="AS22" s="493"/>
      <c r="AT22" s="434"/>
      <c r="AU22" s="435"/>
      <c r="AV22" s="434"/>
      <c r="AW22" s="437"/>
      <c r="AX22" s="434"/>
      <c r="AY22" s="437"/>
      <c r="AZ22" s="434"/>
      <c r="BA22" s="437"/>
      <c r="BB22" s="439"/>
      <c r="BC22" s="441"/>
      <c r="BD22" s="434"/>
      <c r="BE22" s="437"/>
      <c r="BF22" s="434"/>
      <c r="BG22" s="437"/>
      <c r="BH22" s="434"/>
      <c r="BI22" s="437"/>
      <c r="BJ22" s="434"/>
      <c r="BK22" s="437"/>
      <c r="BL22" s="434"/>
      <c r="BM22" s="437"/>
      <c r="BN22" s="434"/>
      <c r="BO22" s="437"/>
      <c r="BP22" s="504"/>
      <c r="BQ22" s="610"/>
      <c r="BR22" s="589"/>
      <c r="BS22" s="590"/>
      <c r="BT22" s="539"/>
      <c r="BU22" s="493"/>
      <c r="BV22" s="434"/>
      <c r="BW22" s="435"/>
      <c r="BX22" s="434"/>
      <c r="BY22" s="437"/>
      <c r="BZ22" s="434"/>
      <c r="CA22" s="437"/>
      <c r="CB22" s="434"/>
      <c r="CC22" s="437"/>
      <c r="CD22" s="439"/>
      <c r="CE22" s="441"/>
      <c r="CF22" s="434"/>
      <c r="CG22" s="437"/>
      <c r="CH22" s="434"/>
      <c r="CI22" s="437"/>
      <c r="CJ22" s="434"/>
      <c r="CK22" s="437"/>
      <c r="CL22" s="434"/>
      <c r="CM22" s="437"/>
      <c r="CN22" s="434"/>
      <c r="CO22" s="437"/>
      <c r="CP22" s="434"/>
      <c r="CQ22" s="437"/>
      <c r="CR22" s="504"/>
      <c r="CS22" s="616"/>
    </row>
    <row r="23" spans="1:97" ht="12" customHeight="1" thickBot="1">
      <c r="A23" s="472"/>
      <c r="B23" s="393"/>
      <c r="C23" s="394"/>
      <c r="D23" s="394"/>
      <c r="E23" s="394"/>
      <c r="F23" s="394"/>
      <c r="G23" s="394"/>
      <c r="H23" s="394"/>
      <c r="I23" s="395"/>
      <c r="J23" s="396"/>
      <c r="K23" s="394"/>
      <c r="L23" s="394"/>
      <c r="M23" s="394"/>
      <c r="N23" s="394"/>
      <c r="O23" s="475"/>
      <c r="P23" s="411"/>
      <c r="Q23" s="518"/>
      <c r="R23" s="495"/>
      <c r="S23" s="448"/>
      <c r="T23" s="449"/>
      <c r="U23" s="448"/>
      <c r="V23" s="449"/>
      <c r="W23" s="448"/>
      <c r="X23" s="450"/>
      <c r="Y23" s="448"/>
      <c r="Z23" s="450"/>
      <c r="AA23" s="451"/>
      <c r="AB23" s="452"/>
      <c r="AC23" s="448"/>
      <c r="AD23" s="563"/>
      <c r="AE23" s="570"/>
      <c r="AF23" s="581"/>
      <c r="AG23" s="577"/>
      <c r="AH23" s="450"/>
      <c r="AI23" s="448"/>
      <c r="AJ23" s="450"/>
      <c r="AK23" s="448"/>
      <c r="AL23" s="450"/>
      <c r="AM23" s="448"/>
      <c r="AN23" s="450"/>
      <c r="AO23" s="505"/>
      <c r="AP23" s="611"/>
      <c r="AQ23" s="587"/>
      <c r="AR23" s="551"/>
      <c r="AS23" s="495"/>
      <c r="AT23" s="448"/>
      <c r="AU23" s="449"/>
      <c r="AV23" s="448"/>
      <c r="AW23" s="450"/>
      <c r="AX23" s="448"/>
      <c r="AY23" s="450"/>
      <c r="AZ23" s="448"/>
      <c r="BA23" s="450"/>
      <c r="BB23" s="451"/>
      <c r="BC23" s="452"/>
      <c r="BD23" s="448"/>
      <c r="BE23" s="450"/>
      <c r="BF23" s="448"/>
      <c r="BG23" s="450"/>
      <c r="BH23" s="448"/>
      <c r="BI23" s="450"/>
      <c r="BJ23" s="448"/>
      <c r="BK23" s="450"/>
      <c r="BL23" s="448"/>
      <c r="BM23" s="450"/>
      <c r="BN23" s="448"/>
      <c r="BO23" s="450"/>
      <c r="BP23" s="505"/>
      <c r="BQ23" s="611"/>
      <c r="BR23" s="589"/>
      <c r="BS23" s="590"/>
      <c r="BT23" s="540"/>
      <c r="BU23" s="495"/>
      <c r="BV23" s="448"/>
      <c r="BW23" s="449"/>
      <c r="BX23" s="448"/>
      <c r="BY23" s="450"/>
      <c r="BZ23" s="448"/>
      <c r="CA23" s="450"/>
      <c r="CB23" s="448"/>
      <c r="CC23" s="450"/>
      <c r="CD23" s="451"/>
      <c r="CE23" s="452"/>
      <c r="CF23" s="448"/>
      <c r="CG23" s="450"/>
      <c r="CH23" s="448"/>
      <c r="CI23" s="450"/>
      <c r="CJ23" s="448"/>
      <c r="CK23" s="450"/>
      <c r="CL23" s="448"/>
      <c r="CM23" s="450"/>
      <c r="CN23" s="448"/>
      <c r="CO23" s="450"/>
      <c r="CP23" s="448"/>
      <c r="CQ23" s="450"/>
      <c r="CR23" s="505"/>
      <c r="CS23" s="617"/>
    </row>
    <row r="24" spans="1:97" s="477" customFormat="1" ht="12" customHeight="1" thickTop="1" thickBot="1">
      <c r="A24" s="476" t="s">
        <v>249</v>
      </c>
      <c r="B24" s="391">
        <f>SUM(B8:B19)</f>
        <v>74259</v>
      </c>
      <c r="C24" s="391">
        <f t="shared" ref="C24:M24" si="3">SUM(C8:C19)</f>
        <v>0</v>
      </c>
      <c r="D24" s="391">
        <f t="shared" si="3"/>
        <v>0</v>
      </c>
      <c r="E24" s="391">
        <f t="shared" si="3"/>
        <v>0</v>
      </c>
      <c r="F24" s="391">
        <f t="shared" si="3"/>
        <v>0</v>
      </c>
      <c r="G24" s="391">
        <f t="shared" si="3"/>
        <v>0</v>
      </c>
      <c r="H24" s="391">
        <f t="shared" si="3"/>
        <v>0</v>
      </c>
      <c r="I24" s="387">
        <f t="shared" si="3"/>
        <v>2050</v>
      </c>
      <c r="J24" s="385">
        <f t="shared" si="3"/>
        <v>11361</v>
      </c>
      <c r="K24" s="385">
        <f>SUM(K8:K19)</f>
        <v>8113.72</v>
      </c>
      <c r="L24" s="391">
        <f t="shared" si="3"/>
        <v>8546.9</v>
      </c>
      <c r="M24" s="391">
        <f t="shared" si="3"/>
        <v>9576</v>
      </c>
      <c r="N24" s="391">
        <f>SUM(N8:N19)</f>
        <v>20800</v>
      </c>
      <c r="O24" s="423">
        <f>SUM(O8:O19)</f>
        <v>60447.619999999995</v>
      </c>
      <c r="P24" s="236"/>
      <c r="Q24" s="519" t="s">
        <v>250</v>
      </c>
      <c r="R24" s="496">
        <f t="shared" ref="R24:Y24" si="4">SUM(R8:R19)</f>
        <v>226521</v>
      </c>
      <c r="S24" s="457">
        <f t="shared" si="4"/>
        <v>9700</v>
      </c>
      <c r="T24" s="458">
        <f t="shared" si="4"/>
        <v>9636.2099999999991</v>
      </c>
      <c r="U24" s="457">
        <f t="shared" si="4"/>
        <v>5000</v>
      </c>
      <c r="V24" s="458">
        <f t="shared" si="4"/>
        <v>1877.68</v>
      </c>
      <c r="W24" s="457">
        <f t="shared" si="4"/>
        <v>21575</v>
      </c>
      <c r="X24" s="459">
        <f t="shared" si="4"/>
        <v>0</v>
      </c>
      <c r="Y24" s="457">
        <f t="shared" si="4"/>
        <v>23625</v>
      </c>
      <c r="Z24" s="459"/>
      <c r="AA24" s="457">
        <f>SUM(AA8:AA19)</f>
        <v>17525</v>
      </c>
      <c r="AB24" s="459"/>
      <c r="AC24" s="457">
        <f>SUM(AC8:AC22)</f>
        <v>35545</v>
      </c>
      <c r="AD24" s="564"/>
      <c r="AE24" s="571">
        <f>SUM(AE8:AE22)</f>
        <v>14390</v>
      </c>
      <c r="AF24" s="582"/>
      <c r="AG24" s="496">
        <f>SUM(AG8:AG22)</f>
        <v>29390</v>
      </c>
      <c r="AH24" s="459"/>
      <c r="AI24" s="457">
        <f>SUM(AI8:AI22)</f>
        <v>15650</v>
      </c>
      <c r="AJ24" s="459"/>
      <c r="AK24" s="457">
        <f>SUM(AK8:AK22)</f>
        <v>24550</v>
      </c>
      <c r="AL24" s="459"/>
      <c r="AM24" s="457">
        <f>SUM(AM8:AM19)</f>
        <v>15650</v>
      </c>
      <c r="AN24" s="459"/>
      <c r="AO24" s="506">
        <f>SUM(AO8:AO21)</f>
        <v>22800</v>
      </c>
      <c r="AP24" s="612">
        <f>SUM(S24:AO24)</f>
        <v>246913.89</v>
      </c>
      <c r="AQ24" s="510"/>
      <c r="AR24" s="552" t="s">
        <v>251</v>
      </c>
      <c r="AS24" s="496">
        <f t="shared" ref="AS24:AZ24" si="5">SUM(AS8:AS19)</f>
        <v>245963</v>
      </c>
      <c r="AT24" s="457">
        <f t="shared" si="5"/>
        <v>14650</v>
      </c>
      <c r="AU24" s="458"/>
      <c r="AV24" s="457">
        <f t="shared" si="5"/>
        <v>24950</v>
      </c>
      <c r="AW24" s="459">
        <f t="shared" si="5"/>
        <v>0</v>
      </c>
      <c r="AX24" s="457">
        <f t="shared" si="5"/>
        <v>20000</v>
      </c>
      <c r="AY24" s="459">
        <f t="shared" si="5"/>
        <v>0</v>
      </c>
      <c r="AZ24" s="457">
        <f t="shared" si="5"/>
        <v>31702</v>
      </c>
      <c r="BA24" s="459"/>
      <c r="BB24" s="457">
        <f>SUM(BB8:BB19)</f>
        <v>22600</v>
      </c>
      <c r="BC24" s="459"/>
      <c r="BD24" s="457">
        <f>SUM(BD8:BD19)</f>
        <v>22488</v>
      </c>
      <c r="BE24" s="459"/>
      <c r="BF24" s="457">
        <f>SUM(BF8:BF19)</f>
        <v>19650</v>
      </c>
      <c r="BG24" s="459"/>
      <c r="BH24" s="457">
        <f>SUM(BH8:BH19)</f>
        <v>16650</v>
      </c>
      <c r="BI24" s="459"/>
      <c r="BJ24" s="457">
        <f>SUM(BJ8:BJ19)</f>
        <v>17150</v>
      </c>
      <c r="BK24" s="459"/>
      <c r="BL24" s="457">
        <f>SUM(BL8:BL19)</f>
        <v>24900</v>
      </c>
      <c r="BM24" s="459"/>
      <c r="BN24" s="457">
        <f>SUM(BN8:BN19)</f>
        <v>15000</v>
      </c>
      <c r="BO24" s="459"/>
      <c r="BP24" s="506">
        <f>SUM(BP8:BP19)</f>
        <v>16550</v>
      </c>
      <c r="BQ24" s="612">
        <f>SUM(AT24:BP24)</f>
        <v>246290</v>
      </c>
      <c r="BR24" s="512">
        <f>SUM(BQ8:BQ19)</f>
        <v>246290</v>
      </c>
      <c r="BS24" s="513"/>
      <c r="BT24" s="541" t="s">
        <v>251</v>
      </c>
      <c r="BU24" s="496">
        <f>SUM(BU8:BU19)</f>
        <v>246689</v>
      </c>
      <c r="BV24" s="457">
        <f>SUM(BV8:BV19)</f>
        <v>15650</v>
      </c>
      <c r="BW24" s="458"/>
      <c r="BX24" s="457">
        <f>SUM(BX8:BX19)</f>
        <v>25650</v>
      </c>
      <c r="BY24" s="459">
        <f>SUM(BY8:BY19)</f>
        <v>0</v>
      </c>
      <c r="BZ24" s="457">
        <f>SUM(BZ8:BZ19)</f>
        <v>18250</v>
      </c>
      <c r="CA24" s="459">
        <f>SUM(CA8:CA19)</f>
        <v>0</v>
      </c>
      <c r="CB24" s="457">
        <f>SUM(CB8:CB19)</f>
        <v>26702</v>
      </c>
      <c r="CC24" s="459"/>
      <c r="CD24" s="457">
        <f>SUM(CD8:CD19)</f>
        <v>16850</v>
      </c>
      <c r="CE24" s="459"/>
      <c r="CF24" s="457">
        <f>SUM(CF8:CF19)</f>
        <v>27384</v>
      </c>
      <c r="CG24" s="459"/>
      <c r="CH24" s="457">
        <f>SUM(CH8:CH19)</f>
        <v>17150</v>
      </c>
      <c r="CI24" s="459"/>
      <c r="CJ24" s="457">
        <f>SUM(CJ8:CJ19)</f>
        <v>20150</v>
      </c>
      <c r="CK24" s="459"/>
      <c r="CL24" s="457">
        <f>SUM(CL8:CL19)</f>
        <v>20650</v>
      </c>
      <c r="CM24" s="459"/>
      <c r="CN24" s="457">
        <f>SUM(CN8:CN19)</f>
        <v>24150</v>
      </c>
      <c r="CO24" s="459"/>
      <c r="CP24" s="457">
        <f>SUM(CP8:CP19)</f>
        <v>15500</v>
      </c>
      <c r="CQ24" s="459"/>
      <c r="CR24" s="506">
        <f>SUM(CR8:CR19)</f>
        <v>16550</v>
      </c>
      <c r="CS24" s="618">
        <f>SUM(BV24:CR24)</f>
        <v>244636</v>
      </c>
    </row>
    <row r="25" spans="1:97" ht="12" customHeight="1" thickTop="1">
      <c r="A25" s="478"/>
      <c r="B25" s="398"/>
      <c r="C25" s="399"/>
      <c r="D25" s="399"/>
      <c r="E25" s="399"/>
      <c r="F25" s="399"/>
      <c r="G25" s="399"/>
      <c r="H25" s="399"/>
      <c r="I25" s="400"/>
      <c r="J25" s="401"/>
      <c r="K25" s="402"/>
      <c r="L25" s="399"/>
      <c r="M25" s="399"/>
      <c r="N25" s="399"/>
      <c r="O25" s="479"/>
      <c r="P25" s="411"/>
      <c r="Q25" s="520"/>
      <c r="R25" s="497"/>
      <c r="S25" s="453"/>
      <c r="T25" s="454"/>
      <c r="U25" s="453"/>
      <c r="V25" s="455"/>
      <c r="W25" s="453"/>
      <c r="X25" s="455"/>
      <c r="Y25" s="453"/>
      <c r="Z25" s="455"/>
      <c r="AA25" s="453"/>
      <c r="AB25" s="455"/>
      <c r="AC25" s="453"/>
      <c r="AD25" s="565"/>
      <c r="AE25" s="572"/>
      <c r="AF25" s="583"/>
      <c r="AG25" s="509"/>
      <c r="AH25" s="455"/>
      <c r="AI25" s="453"/>
      <c r="AJ25" s="455"/>
      <c r="AK25" s="453"/>
      <c r="AL25" s="455"/>
      <c r="AM25" s="453"/>
      <c r="AN25" s="455"/>
      <c r="AO25" s="507"/>
      <c r="AP25" s="609">
        <f t="shared" si="1"/>
        <v>0</v>
      </c>
      <c r="AQ25" s="587"/>
      <c r="AR25" s="553"/>
      <c r="AS25" s="497"/>
      <c r="AT25" s="453"/>
      <c r="AU25" s="454"/>
      <c r="AV25" s="453"/>
      <c r="AW25" s="455"/>
      <c r="AX25" s="453"/>
      <c r="AY25" s="455"/>
      <c r="AZ25" s="453"/>
      <c r="BA25" s="455"/>
      <c r="BB25" s="453"/>
      <c r="BC25" s="455"/>
      <c r="BD25" s="453"/>
      <c r="BE25" s="455"/>
      <c r="BF25" s="453"/>
      <c r="BG25" s="455"/>
      <c r="BH25" s="453"/>
      <c r="BI25" s="455"/>
      <c r="BJ25" s="453"/>
      <c r="BK25" s="455"/>
      <c r="BL25" s="453"/>
      <c r="BM25" s="455"/>
      <c r="BN25" s="453"/>
      <c r="BO25" s="455"/>
      <c r="BP25" s="507"/>
      <c r="BQ25" s="609">
        <f>SUM(AT25:BP25)</f>
        <v>0</v>
      </c>
      <c r="BR25" s="589">
        <f>BQ24-BR24</f>
        <v>0</v>
      </c>
      <c r="BS25" s="590"/>
      <c r="BT25" s="542"/>
      <c r="BU25" s="497"/>
      <c r="BV25" s="453"/>
      <c r="BW25" s="454"/>
      <c r="BX25" s="453"/>
      <c r="BY25" s="455"/>
      <c r="BZ25" s="453"/>
      <c r="CA25" s="455"/>
      <c r="CB25" s="453"/>
      <c r="CC25" s="455"/>
      <c r="CD25" s="453"/>
      <c r="CE25" s="455"/>
      <c r="CF25" s="453"/>
      <c r="CG25" s="455"/>
      <c r="CH25" s="453"/>
      <c r="CI25" s="455"/>
      <c r="CJ25" s="453"/>
      <c r="CK25" s="455"/>
      <c r="CL25" s="453"/>
      <c r="CM25" s="455"/>
      <c r="CN25" s="453"/>
      <c r="CO25" s="455"/>
      <c r="CP25" s="453"/>
      <c r="CQ25" s="455"/>
      <c r="CR25" s="507"/>
      <c r="CS25" s="615">
        <f>SUM(BV25:CR25)</f>
        <v>0</v>
      </c>
    </row>
    <row r="26" spans="1:97" ht="12" customHeight="1">
      <c r="A26" s="478"/>
      <c r="B26" s="398"/>
      <c r="C26" s="399"/>
      <c r="D26" s="399"/>
      <c r="E26" s="399"/>
      <c r="F26" s="399"/>
      <c r="G26" s="399"/>
      <c r="H26" s="399"/>
      <c r="I26" s="400"/>
      <c r="J26" s="401"/>
      <c r="K26" s="402"/>
      <c r="L26" s="399"/>
      <c r="M26" s="399"/>
      <c r="N26" s="399"/>
      <c r="O26" s="479"/>
      <c r="P26" s="411"/>
      <c r="Q26" s="521"/>
      <c r="R26" s="493"/>
      <c r="S26" s="434"/>
      <c r="T26" s="435"/>
      <c r="U26" s="434"/>
      <c r="V26" s="437"/>
      <c r="W26" s="434"/>
      <c r="X26" s="437"/>
      <c r="Y26" s="434"/>
      <c r="Z26" s="437"/>
      <c r="AA26" s="434"/>
      <c r="AB26" s="437"/>
      <c r="AC26" s="434"/>
      <c r="AD26" s="562"/>
      <c r="AE26" s="568"/>
      <c r="AF26" s="584"/>
      <c r="AG26" s="498"/>
      <c r="AH26" s="437"/>
      <c r="AI26" s="434"/>
      <c r="AJ26" s="437"/>
      <c r="AK26" s="434"/>
      <c r="AL26" s="437"/>
      <c r="AM26" s="434"/>
      <c r="AN26" s="437"/>
      <c r="AO26" s="504"/>
      <c r="AP26" s="610"/>
      <c r="AQ26" s="587"/>
      <c r="AR26" s="554"/>
      <c r="AS26" s="493"/>
      <c r="AT26" s="434"/>
      <c r="AU26" s="435"/>
      <c r="AV26" s="434"/>
      <c r="AW26" s="437"/>
      <c r="AX26" s="434"/>
      <c r="AY26" s="437"/>
      <c r="AZ26" s="434"/>
      <c r="BA26" s="437"/>
      <c r="BB26" s="434"/>
      <c r="BC26" s="437"/>
      <c r="BD26" s="434"/>
      <c r="BE26" s="437"/>
      <c r="BF26" s="434"/>
      <c r="BG26" s="437"/>
      <c r="BH26" s="434"/>
      <c r="BI26" s="437"/>
      <c r="BJ26" s="434"/>
      <c r="BK26" s="437"/>
      <c r="BL26" s="434"/>
      <c r="BM26" s="437"/>
      <c r="BN26" s="434"/>
      <c r="BO26" s="437"/>
      <c r="BP26" s="504"/>
      <c r="BQ26" s="610"/>
      <c r="BR26" s="589"/>
      <c r="BS26" s="590"/>
      <c r="BT26" s="543"/>
      <c r="BU26" s="493"/>
      <c r="BV26" s="434"/>
      <c r="BW26" s="435"/>
      <c r="BX26" s="434"/>
      <c r="BY26" s="437"/>
      <c r="BZ26" s="434"/>
      <c r="CA26" s="437"/>
      <c r="CB26" s="434"/>
      <c r="CC26" s="437"/>
      <c r="CD26" s="434"/>
      <c r="CE26" s="437"/>
      <c r="CF26" s="434"/>
      <c r="CG26" s="437"/>
      <c r="CH26" s="434"/>
      <c r="CI26" s="437"/>
      <c r="CJ26" s="434"/>
      <c r="CK26" s="437"/>
      <c r="CL26" s="434"/>
      <c r="CM26" s="437"/>
      <c r="CN26" s="434"/>
      <c r="CO26" s="437"/>
      <c r="CP26" s="434"/>
      <c r="CQ26" s="437"/>
      <c r="CR26" s="504"/>
      <c r="CS26" s="616"/>
    </row>
    <row r="27" spans="1:97" ht="12" customHeight="1">
      <c r="A27" s="478"/>
      <c r="B27" s="398"/>
      <c r="C27" s="399"/>
      <c r="D27" s="399"/>
      <c r="E27" s="399"/>
      <c r="F27" s="399"/>
      <c r="G27" s="399"/>
      <c r="H27" s="399"/>
      <c r="I27" s="400"/>
      <c r="J27" s="401"/>
      <c r="K27" s="402"/>
      <c r="L27" s="399"/>
      <c r="M27" s="399"/>
      <c r="N27" s="399"/>
      <c r="O27" s="479"/>
      <c r="P27" s="411"/>
      <c r="Q27" s="521" t="s">
        <v>252</v>
      </c>
      <c r="R27" s="493"/>
      <c r="S27" s="434"/>
      <c r="T27" s="435"/>
      <c r="U27" s="434"/>
      <c r="V27" s="437"/>
      <c r="W27" s="434"/>
      <c r="X27" s="437"/>
      <c r="Y27" s="434"/>
      <c r="Z27" s="437"/>
      <c r="AA27" s="434"/>
      <c r="AB27" s="437"/>
      <c r="AC27" s="434">
        <v>12908</v>
      </c>
      <c r="AD27" s="562"/>
      <c r="AE27" s="568"/>
      <c r="AF27" s="579"/>
      <c r="AG27" s="498">
        <v>10000</v>
      </c>
      <c r="AH27" s="437"/>
      <c r="AI27" s="434"/>
      <c r="AJ27" s="437"/>
      <c r="AK27" s="434">
        <v>2990</v>
      </c>
      <c r="AL27" s="437"/>
      <c r="AM27" s="434"/>
      <c r="AN27" s="437"/>
      <c r="AO27" s="504"/>
      <c r="AP27" s="610"/>
      <c r="AQ27" s="587"/>
      <c r="AR27" s="554"/>
      <c r="AS27" s="493"/>
      <c r="AT27" s="434"/>
      <c r="AU27" s="435"/>
      <c r="AV27" s="434"/>
      <c r="AW27" s="437"/>
      <c r="AX27" s="434"/>
      <c r="AY27" s="437"/>
      <c r="AZ27" s="434"/>
      <c r="BA27" s="437"/>
      <c r="BB27" s="434"/>
      <c r="BC27" s="437"/>
      <c r="BD27" s="434"/>
      <c r="BE27" s="437"/>
      <c r="BF27" s="434"/>
      <c r="BG27" s="437"/>
      <c r="BH27" s="434"/>
      <c r="BI27" s="437"/>
      <c r="BJ27" s="434"/>
      <c r="BK27" s="437"/>
      <c r="BL27" s="434"/>
      <c r="BM27" s="437"/>
      <c r="BN27" s="434"/>
      <c r="BO27" s="437"/>
      <c r="BP27" s="504"/>
      <c r="BQ27" s="610"/>
      <c r="BR27" s="589"/>
      <c r="BS27" s="590"/>
      <c r="BT27" s="543"/>
      <c r="BU27" s="493"/>
      <c r="BV27" s="434"/>
      <c r="BW27" s="435"/>
      <c r="BX27" s="434"/>
      <c r="BY27" s="437"/>
      <c r="BZ27" s="434"/>
      <c r="CA27" s="437"/>
      <c r="CB27" s="434"/>
      <c r="CC27" s="437"/>
      <c r="CD27" s="434"/>
      <c r="CE27" s="437"/>
      <c r="CF27" s="434"/>
      <c r="CG27" s="437"/>
      <c r="CH27" s="434"/>
      <c r="CI27" s="437"/>
      <c r="CJ27" s="434"/>
      <c r="CK27" s="437"/>
      <c r="CL27" s="434"/>
      <c r="CM27" s="437"/>
      <c r="CN27" s="434"/>
      <c r="CO27" s="437"/>
      <c r="CP27" s="434"/>
      <c r="CQ27" s="437"/>
      <c r="CR27" s="504"/>
      <c r="CS27" s="616"/>
    </row>
    <row r="28" spans="1:97" ht="12" customHeight="1">
      <c r="A28" s="478"/>
      <c r="B28" s="398"/>
      <c r="C28" s="399"/>
      <c r="D28" s="399"/>
      <c r="E28" s="399"/>
      <c r="F28" s="399"/>
      <c r="G28" s="399"/>
      <c r="H28" s="399"/>
      <c r="I28" s="400"/>
      <c r="J28" s="401"/>
      <c r="K28" s="402"/>
      <c r="L28" s="399"/>
      <c r="M28" s="399"/>
      <c r="N28" s="399"/>
      <c r="O28" s="479"/>
      <c r="P28" s="411"/>
      <c r="Q28" s="521"/>
      <c r="R28" s="493"/>
      <c r="S28" s="434"/>
      <c r="T28" s="435"/>
      <c r="U28" s="434"/>
      <c r="V28" s="437"/>
      <c r="W28" s="434"/>
      <c r="X28" s="437"/>
      <c r="Y28" s="434"/>
      <c r="Z28" s="437"/>
      <c r="AA28" s="434"/>
      <c r="AB28" s="437"/>
      <c r="AC28" s="434"/>
      <c r="AD28" s="562"/>
      <c r="AE28" s="573"/>
      <c r="AF28" s="579"/>
      <c r="AG28" s="498"/>
      <c r="AH28" s="437"/>
      <c r="AI28" s="434"/>
      <c r="AJ28" s="437"/>
      <c r="AK28" s="434"/>
      <c r="AL28" s="437"/>
      <c r="AM28" s="434"/>
      <c r="AN28" s="437"/>
      <c r="AO28" s="504"/>
      <c r="AP28" s="610"/>
      <c r="AQ28" s="587"/>
      <c r="AR28" s="554"/>
      <c r="AS28" s="493"/>
      <c r="AT28" s="434"/>
      <c r="AU28" s="435"/>
      <c r="AV28" s="434"/>
      <c r="AW28" s="437"/>
      <c r="AX28" s="434"/>
      <c r="AY28" s="437"/>
      <c r="AZ28" s="434"/>
      <c r="BA28" s="437"/>
      <c r="BB28" s="434"/>
      <c r="BC28" s="437"/>
      <c r="BD28" s="434"/>
      <c r="BE28" s="437"/>
      <c r="BF28" s="434"/>
      <c r="BG28" s="437"/>
      <c r="BH28" s="434"/>
      <c r="BI28" s="437"/>
      <c r="BJ28" s="434"/>
      <c r="BK28" s="437"/>
      <c r="BL28" s="434"/>
      <c r="BM28" s="437"/>
      <c r="BN28" s="434"/>
      <c r="BO28" s="437"/>
      <c r="BP28" s="504"/>
      <c r="BQ28" s="610"/>
      <c r="BR28" s="589"/>
      <c r="BS28" s="590"/>
      <c r="BT28" s="543"/>
      <c r="BU28" s="493"/>
      <c r="BV28" s="434"/>
      <c r="BW28" s="435"/>
      <c r="BX28" s="434"/>
      <c r="BY28" s="437"/>
      <c r="BZ28" s="434"/>
      <c r="CA28" s="437"/>
      <c r="CB28" s="434"/>
      <c r="CC28" s="437"/>
      <c r="CD28" s="434"/>
      <c r="CE28" s="437"/>
      <c r="CF28" s="434"/>
      <c r="CG28" s="437"/>
      <c r="CH28" s="434"/>
      <c r="CI28" s="437"/>
      <c r="CJ28" s="434"/>
      <c r="CK28" s="437"/>
      <c r="CL28" s="434"/>
      <c r="CM28" s="437"/>
      <c r="CN28" s="434"/>
      <c r="CO28" s="437"/>
      <c r="CP28" s="434"/>
      <c r="CQ28" s="437"/>
      <c r="CR28" s="504"/>
      <c r="CS28" s="616"/>
    </row>
    <row r="29" spans="1:97" ht="12" customHeight="1">
      <c r="A29" s="478"/>
      <c r="B29" s="398"/>
      <c r="C29" s="399"/>
      <c r="D29" s="399"/>
      <c r="E29" s="399"/>
      <c r="F29" s="399"/>
      <c r="G29" s="399"/>
      <c r="H29" s="399"/>
      <c r="I29" s="400"/>
      <c r="J29" s="401"/>
      <c r="K29" s="402"/>
      <c r="L29" s="399"/>
      <c r="M29" s="399"/>
      <c r="N29" s="399"/>
      <c r="O29" s="479"/>
      <c r="P29" s="411"/>
      <c r="Q29" s="521"/>
      <c r="R29" s="493"/>
      <c r="S29" s="434"/>
      <c r="T29" s="435"/>
      <c r="U29" s="434"/>
      <c r="V29" s="437"/>
      <c r="W29" s="434"/>
      <c r="X29" s="437"/>
      <c r="Y29" s="434"/>
      <c r="Z29" s="437"/>
      <c r="AA29" s="434"/>
      <c r="AB29" s="437"/>
      <c r="AC29" s="434"/>
      <c r="AD29" s="562"/>
      <c r="AE29" s="568"/>
      <c r="AF29" s="579"/>
      <c r="AG29" s="498"/>
      <c r="AH29" s="437"/>
      <c r="AI29" s="434"/>
      <c r="AJ29" s="437"/>
      <c r="AK29" s="434"/>
      <c r="AL29" s="437"/>
      <c r="AM29" s="434"/>
      <c r="AN29" s="437"/>
      <c r="AO29" s="504"/>
      <c r="AP29" s="610"/>
      <c r="AQ29" s="587"/>
      <c r="AR29" s="554"/>
      <c r="AS29" s="493"/>
      <c r="AT29" s="434"/>
      <c r="AU29" s="435"/>
      <c r="AV29" s="434"/>
      <c r="AW29" s="437"/>
      <c r="AX29" s="434"/>
      <c r="AY29" s="437"/>
      <c r="AZ29" s="434"/>
      <c r="BA29" s="437"/>
      <c r="BB29" s="434"/>
      <c r="BC29" s="437"/>
      <c r="BD29" s="434"/>
      <c r="BE29" s="437"/>
      <c r="BF29" s="434"/>
      <c r="BG29" s="437"/>
      <c r="BH29" s="434"/>
      <c r="BI29" s="437"/>
      <c r="BJ29" s="434"/>
      <c r="BK29" s="437"/>
      <c r="BL29" s="434"/>
      <c r="BM29" s="437"/>
      <c r="BN29" s="434"/>
      <c r="BO29" s="437"/>
      <c r="BP29" s="504"/>
      <c r="BQ29" s="610"/>
      <c r="BR29" s="589"/>
      <c r="BS29" s="590"/>
      <c r="BT29" s="543"/>
      <c r="BU29" s="493"/>
      <c r="BV29" s="434"/>
      <c r="BW29" s="435"/>
      <c r="BX29" s="434"/>
      <c r="BY29" s="437"/>
      <c r="BZ29" s="434"/>
      <c r="CA29" s="437"/>
      <c r="CB29" s="434"/>
      <c r="CC29" s="437"/>
      <c r="CD29" s="434"/>
      <c r="CE29" s="437"/>
      <c r="CF29" s="434"/>
      <c r="CG29" s="437"/>
      <c r="CH29" s="434"/>
      <c r="CI29" s="437"/>
      <c r="CJ29" s="434"/>
      <c r="CK29" s="437"/>
      <c r="CL29" s="434"/>
      <c r="CM29" s="437"/>
      <c r="CN29" s="434"/>
      <c r="CO29" s="437"/>
      <c r="CP29" s="434"/>
      <c r="CQ29" s="437"/>
      <c r="CR29" s="504"/>
      <c r="CS29" s="616"/>
    </row>
    <row r="30" spans="1:97" ht="12" customHeight="1">
      <c r="A30" s="478"/>
      <c r="B30" s="398"/>
      <c r="C30" s="399"/>
      <c r="D30" s="399"/>
      <c r="E30" s="399"/>
      <c r="F30" s="399"/>
      <c r="G30" s="399"/>
      <c r="H30" s="399"/>
      <c r="I30" s="400"/>
      <c r="J30" s="401"/>
      <c r="K30" s="402"/>
      <c r="L30" s="399"/>
      <c r="M30" s="399"/>
      <c r="N30" s="399"/>
      <c r="O30" s="479"/>
      <c r="P30" s="411"/>
      <c r="Q30" s="521"/>
      <c r="R30" s="493"/>
      <c r="S30" s="434"/>
      <c r="T30" s="435"/>
      <c r="U30" s="434"/>
      <c r="V30" s="437"/>
      <c r="W30" s="434"/>
      <c r="X30" s="437"/>
      <c r="Y30" s="434"/>
      <c r="Z30" s="437"/>
      <c r="AA30" s="434"/>
      <c r="AB30" s="437"/>
      <c r="AC30" s="434"/>
      <c r="AD30" s="562"/>
      <c r="AE30" s="568"/>
      <c r="AF30" s="579"/>
      <c r="AG30" s="498"/>
      <c r="AH30" s="437"/>
      <c r="AI30" s="434"/>
      <c r="AJ30" s="437"/>
      <c r="AK30" s="434"/>
      <c r="AL30" s="437"/>
      <c r="AM30" s="434"/>
      <c r="AN30" s="437"/>
      <c r="AO30" s="504"/>
      <c r="AP30" s="610"/>
      <c r="AQ30" s="587"/>
      <c r="AR30" s="554"/>
      <c r="AS30" s="493"/>
      <c r="AT30" s="434"/>
      <c r="AU30" s="435"/>
      <c r="AV30" s="434"/>
      <c r="AW30" s="437"/>
      <c r="AX30" s="434"/>
      <c r="AY30" s="437"/>
      <c r="AZ30" s="434"/>
      <c r="BA30" s="437"/>
      <c r="BB30" s="434"/>
      <c r="BC30" s="437"/>
      <c r="BD30" s="434"/>
      <c r="BE30" s="437"/>
      <c r="BF30" s="434"/>
      <c r="BG30" s="437"/>
      <c r="BH30" s="434"/>
      <c r="BI30" s="437"/>
      <c r="BJ30" s="434"/>
      <c r="BK30" s="437"/>
      <c r="BL30" s="434"/>
      <c r="BM30" s="437"/>
      <c r="BN30" s="434"/>
      <c r="BO30" s="437"/>
      <c r="BP30" s="504"/>
      <c r="BQ30" s="610"/>
      <c r="BR30" s="589"/>
      <c r="BS30" s="590"/>
      <c r="BT30" s="543"/>
      <c r="BU30" s="493"/>
      <c r="BV30" s="434"/>
      <c r="BW30" s="435"/>
      <c r="BX30" s="434"/>
      <c r="BY30" s="437"/>
      <c r="BZ30" s="434"/>
      <c r="CA30" s="437"/>
      <c r="CB30" s="434"/>
      <c r="CC30" s="437"/>
      <c r="CD30" s="434"/>
      <c r="CE30" s="437"/>
      <c r="CF30" s="434"/>
      <c r="CG30" s="437"/>
      <c r="CH30" s="434"/>
      <c r="CI30" s="437"/>
      <c r="CJ30" s="434"/>
      <c r="CK30" s="437"/>
      <c r="CL30" s="434"/>
      <c r="CM30" s="437"/>
      <c r="CN30" s="434"/>
      <c r="CO30" s="437"/>
      <c r="CP30" s="434"/>
      <c r="CQ30" s="437"/>
      <c r="CR30" s="504"/>
      <c r="CS30" s="616"/>
    </row>
    <row r="31" spans="1:97" ht="12" customHeight="1">
      <c r="A31" s="472" t="s">
        <v>77</v>
      </c>
      <c r="B31" s="385">
        <v>2717</v>
      </c>
      <c r="C31" s="386"/>
      <c r="D31" s="386"/>
      <c r="E31" s="386"/>
      <c r="F31" s="386"/>
      <c r="G31" s="386"/>
      <c r="H31" s="386"/>
      <c r="I31" s="387"/>
      <c r="J31" s="385">
        <v>125</v>
      </c>
      <c r="K31" s="388">
        <f>97.57+66.43</f>
        <v>164</v>
      </c>
      <c r="L31" s="386"/>
      <c r="M31" s="386">
        <v>250</v>
      </c>
      <c r="N31" s="386">
        <v>250</v>
      </c>
      <c r="O31" s="473">
        <f>SUM(E31:N31)</f>
        <v>789</v>
      </c>
      <c r="P31" s="411"/>
      <c r="Q31" s="516" t="s">
        <v>253</v>
      </c>
      <c r="R31" s="494">
        <v>2320</v>
      </c>
      <c r="S31" s="434">
        <v>195</v>
      </c>
      <c r="T31" s="435">
        <f>13.9+87.31+63.86</f>
        <v>165.07</v>
      </c>
      <c r="U31" s="434">
        <v>195</v>
      </c>
      <c r="V31" s="442">
        <v>190.33</v>
      </c>
      <c r="W31" s="434">
        <v>195</v>
      </c>
      <c r="X31" s="437"/>
      <c r="Y31" s="434">
        <v>195</v>
      </c>
      <c r="Z31" s="437"/>
      <c r="AA31" s="434">
        <v>195</v>
      </c>
      <c r="AB31" s="437"/>
      <c r="AC31" s="434">
        <v>195</v>
      </c>
      <c r="AD31" s="562"/>
      <c r="AE31" s="568">
        <v>195</v>
      </c>
      <c r="AF31" s="579"/>
      <c r="AG31" s="498">
        <v>195</v>
      </c>
      <c r="AH31" s="437"/>
      <c r="AI31" s="434">
        <v>195</v>
      </c>
      <c r="AJ31" s="437"/>
      <c r="AK31" s="434">
        <v>195</v>
      </c>
      <c r="AL31" s="437"/>
      <c r="AM31" s="434">
        <v>195</v>
      </c>
      <c r="AN31" s="437"/>
      <c r="AO31" s="504">
        <v>195</v>
      </c>
      <c r="AP31" s="610">
        <f t="shared" si="1"/>
        <v>2340</v>
      </c>
      <c r="AQ31" s="587"/>
      <c r="AR31" s="550" t="s">
        <v>253</v>
      </c>
      <c r="AS31" s="537">
        <v>2366</v>
      </c>
      <c r="AT31" s="434">
        <v>195</v>
      </c>
      <c r="AU31" s="435"/>
      <c r="AV31" s="434">
        <v>195</v>
      </c>
      <c r="AW31" s="437"/>
      <c r="AX31" s="434">
        <v>195</v>
      </c>
      <c r="AY31" s="437"/>
      <c r="AZ31" s="434">
        <v>195</v>
      </c>
      <c r="BA31" s="437"/>
      <c r="BB31" s="434">
        <v>195</v>
      </c>
      <c r="BC31" s="437"/>
      <c r="BD31" s="434">
        <v>195</v>
      </c>
      <c r="BE31" s="437"/>
      <c r="BF31" s="434">
        <v>195</v>
      </c>
      <c r="BG31" s="437"/>
      <c r="BH31" s="434">
        <v>195</v>
      </c>
      <c r="BI31" s="437"/>
      <c r="BJ31" s="434">
        <v>195</v>
      </c>
      <c r="BK31" s="437"/>
      <c r="BL31" s="434">
        <v>195</v>
      </c>
      <c r="BM31" s="437"/>
      <c r="BN31" s="434">
        <v>195</v>
      </c>
      <c r="BO31" s="437"/>
      <c r="BP31" s="504">
        <v>195</v>
      </c>
      <c r="BQ31" s="610">
        <f>AT31+AV31+AZ31+BB31+BD31+BF31+BH31+BJ31+BL31+BN31+BP31+AX31</f>
        <v>2340</v>
      </c>
      <c r="BR31" s="589"/>
      <c r="BS31" s="590"/>
      <c r="BT31" s="539" t="s">
        <v>253</v>
      </c>
      <c r="BU31" s="494">
        <v>2366</v>
      </c>
      <c r="BV31" s="434">
        <v>195</v>
      </c>
      <c r="BW31" s="435"/>
      <c r="BX31" s="434">
        <v>195</v>
      </c>
      <c r="BY31" s="437"/>
      <c r="BZ31" s="434">
        <v>195</v>
      </c>
      <c r="CA31" s="437"/>
      <c r="CB31" s="434">
        <v>195</v>
      </c>
      <c r="CC31" s="437"/>
      <c r="CD31" s="434">
        <v>195</v>
      </c>
      <c r="CE31" s="437"/>
      <c r="CF31" s="434">
        <v>195</v>
      </c>
      <c r="CG31" s="437"/>
      <c r="CH31" s="434">
        <v>195</v>
      </c>
      <c r="CI31" s="437"/>
      <c r="CJ31" s="434">
        <v>195</v>
      </c>
      <c r="CK31" s="437"/>
      <c r="CL31" s="434">
        <v>195</v>
      </c>
      <c r="CM31" s="437"/>
      <c r="CN31" s="434">
        <v>195</v>
      </c>
      <c r="CO31" s="437"/>
      <c r="CP31" s="434">
        <v>195</v>
      </c>
      <c r="CQ31" s="437"/>
      <c r="CR31" s="504">
        <v>195</v>
      </c>
      <c r="CS31" s="616">
        <f>BV31+BX31+CB31+CD31+CF31+CH31+CJ31+CL31+CN31+CP31+CR31+BZ31</f>
        <v>2340</v>
      </c>
    </row>
    <row r="32" spans="1:97" ht="12" customHeight="1">
      <c r="A32" s="480" t="s">
        <v>254</v>
      </c>
      <c r="B32" s="385">
        <v>3300</v>
      </c>
      <c r="C32" s="386"/>
      <c r="D32" s="386"/>
      <c r="E32" s="386"/>
      <c r="F32" s="386"/>
      <c r="G32" s="386"/>
      <c r="H32" s="386"/>
      <c r="I32" s="387">
        <v>261.02999999999997</v>
      </c>
      <c r="J32" s="385">
        <v>10</v>
      </c>
      <c r="K32" s="388">
        <f>7.9</f>
        <v>7.9</v>
      </c>
      <c r="L32" s="389">
        <v>124.68</v>
      </c>
      <c r="M32" s="386">
        <v>200</v>
      </c>
      <c r="N32" s="386">
        <v>200</v>
      </c>
      <c r="O32" s="473">
        <f>SUM(E32:N32)</f>
        <v>803.6099999999999</v>
      </c>
      <c r="P32" s="411"/>
      <c r="Q32" s="516" t="s">
        <v>255</v>
      </c>
      <c r="R32" s="494">
        <v>12000</v>
      </c>
      <c r="S32" s="434">
        <f>12000/12</f>
        <v>1000</v>
      </c>
      <c r="T32" s="435">
        <f>81.16+8.73+94.14</f>
        <v>184.03</v>
      </c>
      <c r="U32" s="434">
        <f t="shared" ref="U32:AO32" si="6">12000/12</f>
        <v>1000</v>
      </c>
      <c r="V32" s="442">
        <v>314.74</v>
      </c>
      <c r="W32" s="434">
        <f t="shared" si="6"/>
        <v>1000</v>
      </c>
      <c r="X32" s="437"/>
      <c r="Y32" s="434">
        <f t="shared" si="6"/>
        <v>1000</v>
      </c>
      <c r="Z32" s="437"/>
      <c r="AA32" s="434">
        <f t="shared" si="6"/>
        <v>1000</v>
      </c>
      <c r="AB32" s="437"/>
      <c r="AC32" s="434">
        <f t="shared" si="6"/>
        <v>1000</v>
      </c>
      <c r="AD32" s="562"/>
      <c r="AE32" s="568">
        <f t="shared" si="6"/>
        <v>1000</v>
      </c>
      <c r="AF32" s="579"/>
      <c r="AG32" s="498">
        <f t="shared" si="6"/>
        <v>1000</v>
      </c>
      <c r="AH32" s="437"/>
      <c r="AI32" s="434">
        <f t="shared" si="6"/>
        <v>1000</v>
      </c>
      <c r="AJ32" s="437"/>
      <c r="AK32" s="434">
        <f t="shared" si="6"/>
        <v>1000</v>
      </c>
      <c r="AL32" s="437"/>
      <c r="AM32" s="434">
        <f t="shared" si="6"/>
        <v>1000</v>
      </c>
      <c r="AN32" s="437"/>
      <c r="AO32" s="504">
        <f t="shared" si="6"/>
        <v>1000</v>
      </c>
      <c r="AP32" s="610">
        <f t="shared" si="1"/>
        <v>12000</v>
      </c>
      <c r="AQ32" s="587"/>
      <c r="AR32" s="550" t="s">
        <v>255</v>
      </c>
      <c r="AS32" s="537">
        <v>12240</v>
      </c>
      <c r="AT32" s="434">
        <f>12000/12</f>
        <v>1000</v>
      </c>
      <c r="AU32" s="435"/>
      <c r="AV32" s="434">
        <f t="shared" ref="AV32:BP32" si="7">12000/12</f>
        <v>1000</v>
      </c>
      <c r="AW32" s="437"/>
      <c r="AX32" s="434">
        <f t="shared" si="7"/>
        <v>1000</v>
      </c>
      <c r="AY32" s="437"/>
      <c r="AZ32" s="434">
        <f t="shared" si="7"/>
        <v>1000</v>
      </c>
      <c r="BA32" s="437"/>
      <c r="BB32" s="434">
        <f t="shared" si="7"/>
        <v>1000</v>
      </c>
      <c r="BC32" s="437"/>
      <c r="BD32" s="434">
        <f t="shared" si="7"/>
        <v>1000</v>
      </c>
      <c r="BE32" s="437"/>
      <c r="BF32" s="434">
        <f t="shared" si="7"/>
        <v>1000</v>
      </c>
      <c r="BG32" s="437"/>
      <c r="BH32" s="434">
        <f t="shared" si="7"/>
        <v>1000</v>
      </c>
      <c r="BI32" s="437"/>
      <c r="BJ32" s="434">
        <f t="shared" si="7"/>
        <v>1000</v>
      </c>
      <c r="BK32" s="437"/>
      <c r="BL32" s="434">
        <f t="shared" si="7"/>
        <v>1000</v>
      </c>
      <c r="BM32" s="437"/>
      <c r="BN32" s="434">
        <f t="shared" si="7"/>
        <v>1000</v>
      </c>
      <c r="BO32" s="437"/>
      <c r="BP32" s="504">
        <f t="shared" si="7"/>
        <v>1000</v>
      </c>
      <c r="BQ32" s="610">
        <f t="shared" ref="BQ32:BQ38" si="8">AT32+AV32+AZ32+BB32+BD32+BF32+BH32+BJ32+BL32+BN32+BP32+AX32</f>
        <v>12000</v>
      </c>
      <c r="BR32" s="589"/>
      <c r="BS32" s="590"/>
      <c r="BT32" s="539" t="s">
        <v>255</v>
      </c>
      <c r="BU32" s="494">
        <v>12240</v>
      </c>
      <c r="BV32" s="434">
        <v>520</v>
      </c>
      <c r="BW32" s="435"/>
      <c r="BX32" s="434">
        <v>1520</v>
      </c>
      <c r="BY32" s="437"/>
      <c r="BZ32" s="434">
        <v>1020</v>
      </c>
      <c r="CA32" s="437"/>
      <c r="CB32" s="434">
        <v>1020</v>
      </c>
      <c r="CC32" s="437"/>
      <c r="CD32" s="434">
        <v>1020</v>
      </c>
      <c r="CE32" s="437"/>
      <c r="CF32" s="434">
        <v>1020</v>
      </c>
      <c r="CG32" s="437"/>
      <c r="CH32" s="434">
        <v>1020</v>
      </c>
      <c r="CI32" s="437"/>
      <c r="CJ32" s="434">
        <v>1020</v>
      </c>
      <c r="CK32" s="437"/>
      <c r="CL32" s="434">
        <v>1020</v>
      </c>
      <c r="CM32" s="437"/>
      <c r="CN32" s="434">
        <v>1020</v>
      </c>
      <c r="CO32" s="437"/>
      <c r="CP32" s="434">
        <v>1020</v>
      </c>
      <c r="CQ32" s="437"/>
      <c r="CR32" s="504">
        <v>1020</v>
      </c>
      <c r="CS32" s="616">
        <f t="shared" ref="CS32:CS38" si="9">BV32+BX32+CB32+CD32+CF32+CH32+CJ32+CL32+CN32+CP32+CR32+BZ32</f>
        <v>12240</v>
      </c>
    </row>
    <row r="33" spans="1:97" ht="12" customHeight="1">
      <c r="A33" s="480" t="s">
        <v>256</v>
      </c>
      <c r="B33" s="385">
        <v>3200</v>
      </c>
      <c r="C33" s="386"/>
      <c r="D33" s="386"/>
      <c r="E33" s="386"/>
      <c r="F33" s="386"/>
      <c r="G33" s="390"/>
      <c r="H33" s="386"/>
      <c r="I33" s="387"/>
      <c r="J33" s="385"/>
      <c r="K33" s="388"/>
      <c r="L33" s="389">
        <v>2645.5</v>
      </c>
      <c r="M33" s="386"/>
      <c r="N33" s="386"/>
      <c r="O33" s="473">
        <f>SUM(E33:N33)</f>
        <v>2645.5</v>
      </c>
      <c r="P33" s="411"/>
      <c r="Q33" s="516" t="s">
        <v>257</v>
      </c>
      <c r="R33" s="494">
        <v>1540</v>
      </c>
      <c r="S33" s="434"/>
      <c r="T33" s="435">
        <v>39.700000000000003</v>
      </c>
      <c r="U33" s="434"/>
      <c r="V33" s="442"/>
      <c r="W33" s="434">
        <v>500</v>
      </c>
      <c r="X33" s="437"/>
      <c r="Y33" s="434"/>
      <c r="Z33" s="437"/>
      <c r="AA33" s="434"/>
      <c r="AB33" s="437"/>
      <c r="AC33" s="434"/>
      <c r="AD33" s="562"/>
      <c r="AE33" s="568">
        <v>500</v>
      </c>
      <c r="AF33" s="579"/>
      <c r="AG33" s="498"/>
      <c r="AH33" s="437"/>
      <c r="AI33" s="434"/>
      <c r="AJ33" s="437"/>
      <c r="AK33" s="434"/>
      <c r="AL33" s="437"/>
      <c r="AM33" s="434">
        <v>540</v>
      </c>
      <c r="AN33" s="437"/>
      <c r="AO33" s="504"/>
      <c r="AP33" s="610">
        <f t="shared" si="1"/>
        <v>1540</v>
      </c>
      <c r="AQ33" s="587"/>
      <c r="AR33" s="550" t="s">
        <v>257</v>
      </c>
      <c r="AS33" s="537">
        <v>1571</v>
      </c>
      <c r="AT33" s="434"/>
      <c r="AU33" s="435"/>
      <c r="AV33" s="434"/>
      <c r="AW33" s="437"/>
      <c r="AX33" s="434">
        <v>500</v>
      </c>
      <c r="AY33" s="437"/>
      <c r="AZ33" s="434"/>
      <c r="BA33" s="437"/>
      <c r="BB33" s="434"/>
      <c r="BC33" s="437"/>
      <c r="BD33" s="434"/>
      <c r="BE33" s="437"/>
      <c r="BF33" s="434">
        <v>500</v>
      </c>
      <c r="BG33" s="437"/>
      <c r="BH33" s="434"/>
      <c r="BI33" s="437"/>
      <c r="BJ33" s="434"/>
      <c r="BK33" s="437"/>
      <c r="BL33" s="434"/>
      <c r="BM33" s="437"/>
      <c r="BN33" s="434">
        <v>540</v>
      </c>
      <c r="BO33" s="437"/>
      <c r="BP33" s="504"/>
      <c r="BQ33" s="610">
        <f t="shared" si="8"/>
        <v>1540</v>
      </c>
      <c r="BR33" s="589"/>
      <c r="BS33" s="590"/>
      <c r="BT33" s="539" t="s">
        <v>257</v>
      </c>
      <c r="BU33" s="494">
        <v>1571</v>
      </c>
      <c r="BV33" s="434"/>
      <c r="BW33" s="435"/>
      <c r="BX33" s="434"/>
      <c r="BY33" s="437"/>
      <c r="BZ33" s="434">
        <v>531</v>
      </c>
      <c r="CA33" s="437"/>
      <c r="CB33" s="434"/>
      <c r="CC33" s="437"/>
      <c r="CD33" s="434"/>
      <c r="CE33" s="437"/>
      <c r="CF33" s="434"/>
      <c r="CG33" s="437"/>
      <c r="CH33" s="434">
        <v>500</v>
      </c>
      <c r="CI33" s="437"/>
      <c r="CJ33" s="434"/>
      <c r="CK33" s="437"/>
      <c r="CL33" s="434"/>
      <c r="CM33" s="437"/>
      <c r="CN33" s="434"/>
      <c r="CO33" s="437"/>
      <c r="CP33" s="434">
        <v>540</v>
      </c>
      <c r="CQ33" s="437"/>
      <c r="CR33" s="504"/>
      <c r="CS33" s="616">
        <f t="shared" si="9"/>
        <v>1571</v>
      </c>
    </row>
    <row r="34" spans="1:97" ht="12" customHeight="1">
      <c r="A34" s="472" t="s">
        <v>258</v>
      </c>
      <c r="B34" s="385">
        <v>900</v>
      </c>
      <c r="C34" s="386"/>
      <c r="D34" s="386"/>
      <c r="E34" s="386"/>
      <c r="F34" s="386"/>
      <c r="G34" s="386"/>
      <c r="H34" s="386"/>
      <c r="I34" s="387"/>
      <c r="J34" s="385"/>
      <c r="K34" s="388">
        <v>12</v>
      </c>
      <c r="L34" s="386"/>
      <c r="M34" s="386"/>
      <c r="N34" s="386">
        <v>450</v>
      </c>
      <c r="O34" s="473">
        <f>SUM(E34:N34)</f>
        <v>462</v>
      </c>
      <c r="P34" s="411"/>
      <c r="Q34" s="516" t="s">
        <v>258</v>
      </c>
      <c r="R34" s="494">
        <v>1500</v>
      </c>
      <c r="S34" s="434">
        <f>1500/12</f>
        <v>125</v>
      </c>
      <c r="T34" s="435">
        <v>16.739999999999998</v>
      </c>
      <c r="U34" s="434">
        <f t="shared" ref="U34:AO34" si="10">1500/12</f>
        <v>125</v>
      </c>
      <c r="V34" s="442"/>
      <c r="W34" s="434">
        <f t="shared" si="10"/>
        <v>125</v>
      </c>
      <c r="X34" s="437"/>
      <c r="Y34" s="434">
        <f t="shared" si="10"/>
        <v>125</v>
      </c>
      <c r="Z34" s="437"/>
      <c r="AA34" s="434">
        <f t="shared" si="10"/>
        <v>125</v>
      </c>
      <c r="AB34" s="437"/>
      <c r="AC34" s="434">
        <f t="shared" si="10"/>
        <v>125</v>
      </c>
      <c r="AD34" s="562"/>
      <c r="AE34" s="568">
        <f t="shared" si="10"/>
        <v>125</v>
      </c>
      <c r="AF34" s="579"/>
      <c r="AG34" s="498">
        <f t="shared" si="10"/>
        <v>125</v>
      </c>
      <c r="AH34" s="437"/>
      <c r="AI34" s="434">
        <f t="shared" si="10"/>
        <v>125</v>
      </c>
      <c r="AJ34" s="437"/>
      <c r="AK34" s="434">
        <f t="shared" si="10"/>
        <v>125</v>
      </c>
      <c r="AL34" s="437"/>
      <c r="AM34" s="434">
        <f t="shared" si="10"/>
        <v>125</v>
      </c>
      <c r="AN34" s="437"/>
      <c r="AO34" s="504">
        <f t="shared" si="10"/>
        <v>125</v>
      </c>
      <c r="AP34" s="610">
        <f t="shared" si="1"/>
        <v>1500</v>
      </c>
      <c r="AQ34" s="587"/>
      <c r="AR34" s="550" t="s">
        <v>258</v>
      </c>
      <c r="AS34" s="537">
        <v>1530</v>
      </c>
      <c r="AT34" s="434">
        <f>1500/12</f>
        <v>125</v>
      </c>
      <c r="AU34" s="435"/>
      <c r="AV34" s="434">
        <f t="shared" ref="AV34:BP34" si="11">1500/12</f>
        <v>125</v>
      </c>
      <c r="AW34" s="437"/>
      <c r="AX34" s="434">
        <f t="shared" si="11"/>
        <v>125</v>
      </c>
      <c r="AY34" s="437"/>
      <c r="AZ34" s="434">
        <f t="shared" si="11"/>
        <v>125</v>
      </c>
      <c r="BA34" s="437"/>
      <c r="BB34" s="434">
        <f t="shared" si="11"/>
        <v>125</v>
      </c>
      <c r="BC34" s="437"/>
      <c r="BD34" s="434">
        <f t="shared" si="11"/>
        <v>125</v>
      </c>
      <c r="BE34" s="437"/>
      <c r="BF34" s="434">
        <f t="shared" si="11"/>
        <v>125</v>
      </c>
      <c r="BG34" s="437"/>
      <c r="BH34" s="434">
        <f t="shared" si="11"/>
        <v>125</v>
      </c>
      <c r="BI34" s="437"/>
      <c r="BJ34" s="434">
        <f t="shared" si="11"/>
        <v>125</v>
      </c>
      <c r="BK34" s="437"/>
      <c r="BL34" s="434">
        <f t="shared" si="11"/>
        <v>125</v>
      </c>
      <c r="BM34" s="437"/>
      <c r="BN34" s="434">
        <f t="shared" si="11"/>
        <v>125</v>
      </c>
      <c r="BO34" s="437"/>
      <c r="BP34" s="504">
        <f t="shared" si="11"/>
        <v>125</v>
      </c>
      <c r="BQ34" s="610">
        <f t="shared" si="8"/>
        <v>1500</v>
      </c>
      <c r="BR34" s="589"/>
      <c r="BS34" s="590"/>
      <c r="BT34" s="539" t="s">
        <v>258</v>
      </c>
      <c r="BU34" s="494">
        <v>1530</v>
      </c>
      <c r="BV34" s="434">
        <v>250</v>
      </c>
      <c r="BW34" s="435"/>
      <c r="BX34" s="434"/>
      <c r="BY34" s="437"/>
      <c r="BZ34" s="434">
        <v>130</v>
      </c>
      <c r="CA34" s="437"/>
      <c r="CB34" s="434"/>
      <c r="CC34" s="437"/>
      <c r="CD34" s="434">
        <v>250</v>
      </c>
      <c r="CE34" s="437"/>
      <c r="CF34" s="434">
        <v>130</v>
      </c>
      <c r="CG34" s="437"/>
      <c r="CH34" s="434">
        <f>1500/12</f>
        <v>125</v>
      </c>
      <c r="CI34" s="437"/>
      <c r="CJ34" s="434">
        <v>130</v>
      </c>
      <c r="CK34" s="437"/>
      <c r="CL34" s="434"/>
      <c r="CM34" s="437"/>
      <c r="CN34" s="434">
        <v>255</v>
      </c>
      <c r="CO34" s="437"/>
      <c r="CP34" s="434"/>
      <c r="CQ34" s="437"/>
      <c r="CR34" s="504">
        <v>255</v>
      </c>
      <c r="CS34" s="616">
        <f t="shared" si="9"/>
        <v>1525</v>
      </c>
    </row>
    <row r="35" spans="1:97" ht="12" customHeight="1">
      <c r="A35" s="472" t="s">
        <v>259</v>
      </c>
      <c r="B35" s="385">
        <v>3000</v>
      </c>
      <c r="C35" s="386"/>
      <c r="D35" s="386"/>
      <c r="E35" s="386"/>
      <c r="F35" s="386"/>
      <c r="G35" s="386"/>
      <c r="H35" s="386"/>
      <c r="I35" s="387"/>
      <c r="J35" s="385">
        <v>850</v>
      </c>
      <c r="K35" s="388">
        <v>820.97</v>
      </c>
      <c r="L35" s="389">
        <v>849.16</v>
      </c>
      <c r="M35" s="386">
        <v>821</v>
      </c>
      <c r="N35" s="386">
        <v>850</v>
      </c>
      <c r="O35" s="473">
        <f>SUM(I35:N35)</f>
        <v>4191.13</v>
      </c>
      <c r="P35" s="411"/>
      <c r="Q35" s="516" t="s">
        <v>260</v>
      </c>
      <c r="R35" s="494">
        <v>6300</v>
      </c>
      <c r="S35" s="434">
        <v>1050</v>
      </c>
      <c r="T35" s="435">
        <f>849.16+1530</f>
        <v>2379.16</v>
      </c>
      <c r="U35" s="434">
        <v>1050</v>
      </c>
      <c r="V35" s="442">
        <v>438.96</v>
      </c>
      <c r="W35" s="434">
        <v>1050</v>
      </c>
      <c r="X35" s="437"/>
      <c r="Y35" s="434">
        <v>1050</v>
      </c>
      <c r="Z35" s="437"/>
      <c r="AA35" s="434">
        <v>1050</v>
      </c>
      <c r="AB35" s="437"/>
      <c r="AC35" s="434">
        <v>1050</v>
      </c>
      <c r="AD35" s="562"/>
      <c r="AE35" s="568"/>
      <c r="AF35" s="579"/>
      <c r="AG35" s="498"/>
      <c r="AH35" s="437"/>
      <c r="AI35" s="434"/>
      <c r="AJ35" s="437"/>
      <c r="AK35" s="434"/>
      <c r="AL35" s="437"/>
      <c r="AM35" s="434"/>
      <c r="AN35" s="437"/>
      <c r="AO35" s="504"/>
      <c r="AP35" s="610">
        <f>S35+U35+W35+Y35+AA35+AC35+AE35+AG35+AI35+AK35+AM35+AO35</f>
        <v>6300</v>
      </c>
      <c r="AQ35" s="587"/>
      <c r="AR35" s="550" t="s">
        <v>260</v>
      </c>
      <c r="AS35" s="493"/>
      <c r="AT35" s="434"/>
      <c r="AU35" s="435"/>
      <c r="AV35" s="434"/>
      <c r="AW35" s="437"/>
      <c r="AX35" s="434"/>
      <c r="AY35" s="437"/>
      <c r="AZ35" s="434"/>
      <c r="BA35" s="437"/>
      <c r="BB35" s="434"/>
      <c r="BC35" s="437"/>
      <c r="BD35" s="434"/>
      <c r="BE35" s="437"/>
      <c r="BF35" s="434"/>
      <c r="BG35" s="437"/>
      <c r="BH35" s="434"/>
      <c r="BI35" s="437"/>
      <c r="BJ35" s="434"/>
      <c r="BK35" s="437"/>
      <c r="BL35" s="434"/>
      <c r="BM35" s="437"/>
      <c r="BN35" s="434"/>
      <c r="BO35" s="437"/>
      <c r="BP35" s="504"/>
      <c r="BQ35" s="610">
        <f t="shared" si="8"/>
        <v>0</v>
      </c>
      <c r="BR35" s="589"/>
      <c r="BS35" s="590"/>
      <c r="BT35" s="539" t="s">
        <v>260</v>
      </c>
      <c r="BU35" s="493"/>
      <c r="BV35" s="434"/>
      <c r="BW35" s="435"/>
      <c r="BX35" s="434"/>
      <c r="BY35" s="437"/>
      <c r="BZ35" s="434"/>
      <c r="CA35" s="437"/>
      <c r="CB35" s="434"/>
      <c r="CC35" s="437"/>
      <c r="CD35" s="434"/>
      <c r="CE35" s="437"/>
      <c r="CF35" s="434"/>
      <c r="CG35" s="437"/>
      <c r="CH35" s="434"/>
      <c r="CI35" s="437"/>
      <c r="CJ35" s="434"/>
      <c r="CK35" s="437"/>
      <c r="CL35" s="434"/>
      <c r="CM35" s="437"/>
      <c r="CN35" s="434"/>
      <c r="CO35" s="437"/>
      <c r="CP35" s="434"/>
      <c r="CQ35" s="437"/>
      <c r="CR35" s="504"/>
      <c r="CS35" s="616">
        <f t="shared" si="9"/>
        <v>0</v>
      </c>
    </row>
    <row r="36" spans="1:97" ht="12" customHeight="1">
      <c r="A36" s="480" t="s">
        <v>261</v>
      </c>
      <c r="B36" s="403"/>
      <c r="C36" s="386"/>
      <c r="D36" s="386"/>
      <c r="E36" s="386"/>
      <c r="F36" s="386"/>
      <c r="G36" s="386"/>
      <c r="H36" s="390"/>
      <c r="I36" s="387"/>
      <c r="J36" s="385"/>
      <c r="K36" s="388">
        <f>923.55+49.97+18+92.45</f>
        <v>1083.97</v>
      </c>
      <c r="L36" s="389">
        <v>315</v>
      </c>
      <c r="M36" s="386">
        <v>1500</v>
      </c>
      <c r="N36" s="386">
        <v>1000</v>
      </c>
      <c r="O36" s="473">
        <f t="shared" ref="O36:O45" si="12">SUM(E36:N36)</f>
        <v>3898.9700000000003</v>
      </c>
      <c r="P36" s="411"/>
      <c r="Q36" s="516" t="s">
        <v>262</v>
      </c>
      <c r="R36" s="494"/>
      <c r="S36" s="434"/>
      <c r="T36" s="435">
        <f>1237.35</f>
        <v>1237.3499999999999</v>
      </c>
      <c r="U36" s="434"/>
      <c r="V36" s="442"/>
      <c r="W36" s="434"/>
      <c r="X36" s="437"/>
      <c r="Y36" s="433"/>
      <c r="Z36" s="440"/>
      <c r="AA36" s="434"/>
      <c r="AB36" s="437"/>
      <c r="AC36" s="434"/>
      <c r="AD36" s="562"/>
      <c r="AE36" s="569"/>
      <c r="AF36" s="580"/>
      <c r="AG36" s="498"/>
      <c r="AH36" s="437"/>
      <c r="AI36" s="434"/>
      <c r="AJ36" s="437"/>
      <c r="AK36" s="434"/>
      <c r="AL36" s="437"/>
      <c r="AM36" s="434"/>
      <c r="AN36" s="437"/>
      <c r="AO36" s="504"/>
      <c r="AP36" s="610">
        <f t="shared" si="1"/>
        <v>0</v>
      </c>
      <c r="AQ36" s="587"/>
      <c r="AR36" s="550" t="s">
        <v>262</v>
      </c>
      <c r="AS36" s="493"/>
      <c r="AT36" s="434"/>
      <c r="AU36" s="435"/>
      <c r="AV36" s="434"/>
      <c r="AW36" s="437"/>
      <c r="AX36" s="434"/>
      <c r="AY36" s="437"/>
      <c r="AZ36" s="433"/>
      <c r="BA36" s="440"/>
      <c r="BB36" s="434"/>
      <c r="BC36" s="437"/>
      <c r="BD36" s="434"/>
      <c r="BE36" s="437"/>
      <c r="BF36" s="439"/>
      <c r="BG36" s="441"/>
      <c r="BH36" s="434"/>
      <c r="BI36" s="437"/>
      <c r="BJ36" s="434"/>
      <c r="BK36" s="437"/>
      <c r="BL36" s="434"/>
      <c r="BM36" s="437"/>
      <c r="BN36" s="434"/>
      <c r="BO36" s="437"/>
      <c r="BP36" s="504"/>
      <c r="BQ36" s="610">
        <f t="shared" si="8"/>
        <v>0</v>
      </c>
      <c r="BR36" s="589"/>
      <c r="BS36" s="590"/>
      <c r="BT36" s="539" t="s">
        <v>262</v>
      </c>
      <c r="BU36" s="493"/>
      <c r="BV36" s="434"/>
      <c r="BW36" s="435"/>
      <c r="BX36" s="434"/>
      <c r="BY36" s="437"/>
      <c r="BZ36" s="434"/>
      <c r="CA36" s="437"/>
      <c r="CB36" s="433"/>
      <c r="CC36" s="440"/>
      <c r="CD36" s="434"/>
      <c r="CE36" s="437"/>
      <c r="CF36" s="434"/>
      <c r="CG36" s="437"/>
      <c r="CH36" s="439"/>
      <c r="CI36" s="441"/>
      <c r="CJ36" s="434"/>
      <c r="CK36" s="437"/>
      <c r="CL36" s="434"/>
      <c r="CM36" s="437"/>
      <c r="CN36" s="434"/>
      <c r="CO36" s="437"/>
      <c r="CP36" s="434"/>
      <c r="CQ36" s="437"/>
      <c r="CR36" s="504"/>
      <c r="CS36" s="616">
        <f t="shared" si="9"/>
        <v>0</v>
      </c>
    </row>
    <row r="37" spans="1:97" ht="12" customHeight="1">
      <c r="A37" s="472" t="s">
        <v>263</v>
      </c>
      <c r="B37" s="385">
        <v>840</v>
      </c>
      <c r="C37" s="386"/>
      <c r="D37" s="386"/>
      <c r="E37" s="386"/>
      <c r="F37" s="386"/>
      <c r="G37" s="386"/>
      <c r="H37" s="386"/>
      <c r="I37" s="387"/>
      <c r="J37" s="385"/>
      <c r="K37" s="388"/>
      <c r="L37" s="386"/>
      <c r="M37" s="386">
        <v>300</v>
      </c>
      <c r="N37" s="386">
        <v>140</v>
      </c>
      <c r="O37" s="473">
        <f t="shared" si="12"/>
        <v>440</v>
      </c>
      <c r="P37" s="411" t="s">
        <v>216</v>
      </c>
      <c r="Q37" s="516" t="s">
        <v>263</v>
      </c>
      <c r="R37" s="494">
        <v>830</v>
      </c>
      <c r="S37" s="434">
        <v>75</v>
      </c>
      <c r="T37" s="435">
        <v>100</v>
      </c>
      <c r="U37" s="434">
        <v>75</v>
      </c>
      <c r="V37" s="442"/>
      <c r="W37" s="434">
        <v>75</v>
      </c>
      <c r="X37" s="437"/>
      <c r="Y37" s="434">
        <v>75</v>
      </c>
      <c r="Z37" s="437"/>
      <c r="AA37" s="434">
        <v>60</v>
      </c>
      <c r="AB37" s="437"/>
      <c r="AC37" s="434">
        <v>60</v>
      </c>
      <c r="AD37" s="562"/>
      <c r="AE37" s="568">
        <v>60</v>
      </c>
      <c r="AF37" s="579"/>
      <c r="AG37" s="498">
        <v>60</v>
      </c>
      <c r="AH37" s="437"/>
      <c r="AI37" s="434">
        <v>60</v>
      </c>
      <c r="AJ37" s="437"/>
      <c r="AK37" s="434">
        <v>75</v>
      </c>
      <c r="AL37" s="437"/>
      <c r="AM37" s="434">
        <v>75</v>
      </c>
      <c r="AN37" s="437"/>
      <c r="AO37" s="504">
        <v>75</v>
      </c>
      <c r="AP37" s="610">
        <f t="shared" si="1"/>
        <v>825</v>
      </c>
      <c r="AQ37" s="587"/>
      <c r="AR37" s="550" t="s">
        <v>263</v>
      </c>
      <c r="AS37" s="537">
        <v>847</v>
      </c>
      <c r="AT37" s="434">
        <v>75</v>
      </c>
      <c r="AU37" s="435"/>
      <c r="AV37" s="434">
        <v>75</v>
      </c>
      <c r="AW37" s="437"/>
      <c r="AX37" s="434">
        <v>75</v>
      </c>
      <c r="AY37" s="437"/>
      <c r="AZ37" s="434">
        <v>75</v>
      </c>
      <c r="BA37" s="437"/>
      <c r="BB37" s="434">
        <v>60</v>
      </c>
      <c r="BC37" s="437"/>
      <c r="BD37" s="434">
        <v>60</v>
      </c>
      <c r="BE37" s="437"/>
      <c r="BF37" s="434">
        <v>60</v>
      </c>
      <c r="BG37" s="437"/>
      <c r="BH37" s="434">
        <v>60</v>
      </c>
      <c r="BI37" s="437"/>
      <c r="BJ37" s="434">
        <v>60</v>
      </c>
      <c r="BK37" s="437"/>
      <c r="BL37" s="434">
        <v>75</v>
      </c>
      <c r="BM37" s="437"/>
      <c r="BN37" s="434">
        <v>75</v>
      </c>
      <c r="BO37" s="437"/>
      <c r="BP37" s="504">
        <v>75</v>
      </c>
      <c r="BQ37" s="610">
        <f t="shared" si="8"/>
        <v>825</v>
      </c>
      <c r="BR37" s="589"/>
      <c r="BS37" s="590"/>
      <c r="BT37" s="539" t="s">
        <v>263</v>
      </c>
      <c r="BU37" s="494">
        <v>847</v>
      </c>
      <c r="BV37" s="434">
        <v>71</v>
      </c>
      <c r="BW37" s="435"/>
      <c r="BX37" s="434">
        <v>71</v>
      </c>
      <c r="BY37" s="437"/>
      <c r="BZ37" s="434">
        <v>71</v>
      </c>
      <c r="CA37" s="437"/>
      <c r="CB37" s="434">
        <v>71</v>
      </c>
      <c r="CC37" s="437"/>
      <c r="CD37" s="434">
        <v>71</v>
      </c>
      <c r="CE37" s="437"/>
      <c r="CF37" s="434">
        <v>71</v>
      </c>
      <c r="CG37" s="437"/>
      <c r="CH37" s="434">
        <v>71</v>
      </c>
      <c r="CI37" s="437"/>
      <c r="CJ37" s="434">
        <v>71</v>
      </c>
      <c r="CK37" s="437"/>
      <c r="CL37" s="434">
        <v>71</v>
      </c>
      <c r="CM37" s="437"/>
      <c r="CN37" s="434">
        <v>71</v>
      </c>
      <c r="CO37" s="437"/>
      <c r="CP37" s="434">
        <v>71</v>
      </c>
      <c r="CQ37" s="437"/>
      <c r="CR37" s="504">
        <v>71</v>
      </c>
      <c r="CS37" s="616">
        <f t="shared" si="9"/>
        <v>852</v>
      </c>
    </row>
    <row r="38" spans="1:97" ht="12" customHeight="1">
      <c r="A38" s="472" t="s">
        <v>264</v>
      </c>
      <c r="B38" s="385">
        <v>360</v>
      </c>
      <c r="C38" s="386"/>
      <c r="D38" s="386"/>
      <c r="E38" s="386"/>
      <c r="F38" s="386"/>
      <c r="G38" s="386"/>
      <c r="H38" s="386"/>
      <c r="I38" s="387">
        <v>68.94</v>
      </c>
      <c r="J38" s="385">
        <v>113.38</v>
      </c>
      <c r="K38" s="388">
        <v>151.94999999999999</v>
      </c>
      <c r="L38" s="386"/>
      <c r="M38" s="386">
        <v>60</v>
      </c>
      <c r="N38" s="386">
        <v>100</v>
      </c>
      <c r="O38" s="473">
        <f t="shared" si="12"/>
        <v>494.27</v>
      </c>
      <c r="P38" s="411"/>
      <c r="Q38" s="516" t="s">
        <v>265</v>
      </c>
      <c r="R38" s="494">
        <v>2400</v>
      </c>
      <c r="S38" s="434">
        <f>2400/12</f>
        <v>200</v>
      </c>
      <c r="T38" s="435">
        <f>356.26+40.38+58.13+129.67</f>
        <v>584.43999999999994</v>
      </c>
      <c r="U38" s="434">
        <f t="shared" ref="U38:AO38" si="13">2400/12</f>
        <v>200</v>
      </c>
      <c r="V38" s="442">
        <v>603.07000000000005</v>
      </c>
      <c r="W38" s="434">
        <f t="shared" si="13"/>
        <v>200</v>
      </c>
      <c r="X38" s="437"/>
      <c r="Y38" s="434">
        <f t="shared" si="13"/>
        <v>200</v>
      </c>
      <c r="Z38" s="437"/>
      <c r="AA38" s="434">
        <f t="shared" si="13"/>
        <v>200</v>
      </c>
      <c r="AB38" s="437"/>
      <c r="AC38" s="434">
        <f t="shared" si="13"/>
        <v>200</v>
      </c>
      <c r="AD38" s="562"/>
      <c r="AE38" s="568">
        <f t="shared" si="13"/>
        <v>200</v>
      </c>
      <c r="AF38" s="579"/>
      <c r="AG38" s="498">
        <f t="shared" si="13"/>
        <v>200</v>
      </c>
      <c r="AH38" s="437"/>
      <c r="AI38" s="434">
        <f t="shared" si="13"/>
        <v>200</v>
      </c>
      <c r="AJ38" s="437"/>
      <c r="AK38" s="434">
        <f t="shared" si="13"/>
        <v>200</v>
      </c>
      <c r="AL38" s="437"/>
      <c r="AM38" s="434">
        <f t="shared" si="13"/>
        <v>200</v>
      </c>
      <c r="AN38" s="437"/>
      <c r="AO38" s="504">
        <f t="shared" si="13"/>
        <v>200</v>
      </c>
      <c r="AP38" s="610">
        <f t="shared" si="1"/>
        <v>2400</v>
      </c>
      <c r="AQ38" s="587"/>
      <c r="AR38" s="550" t="s">
        <v>265</v>
      </c>
      <c r="AS38" s="537">
        <v>2448</v>
      </c>
      <c r="AT38" s="434">
        <f>2448/12</f>
        <v>204</v>
      </c>
      <c r="AU38" s="434">
        <f t="shared" ref="AU38:BP38" si="14">2448/12</f>
        <v>204</v>
      </c>
      <c r="AV38" s="434">
        <f t="shared" si="14"/>
        <v>204</v>
      </c>
      <c r="AW38" s="434">
        <f t="shared" si="14"/>
        <v>204</v>
      </c>
      <c r="AX38" s="434">
        <f t="shared" si="14"/>
        <v>204</v>
      </c>
      <c r="AY38" s="434">
        <f t="shared" si="14"/>
        <v>204</v>
      </c>
      <c r="AZ38" s="434">
        <f t="shared" si="14"/>
        <v>204</v>
      </c>
      <c r="BA38" s="434">
        <f t="shared" si="14"/>
        <v>204</v>
      </c>
      <c r="BB38" s="434">
        <f t="shared" si="14"/>
        <v>204</v>
      </c>
      <c r="BC38" s="434">
        <f t="shared" si="14"/>
        <v>204</v>
      </c>
      <c r="BD38" s="434">
        <f t="shared" si="14"/>
        <v>204</v>
      </c>
      <c r="BE38" s="434">
        <f t="shared" si="14"/>
        <v>204</v>
      </c>
      <c r="BF38" s="434">
        <f t="shared" si="14"/>
        <v>204</v>
      </c>
      <c r="BG38" s="434">
        <f t="shared" si="14"/>
        <v>204</v>
      </c>
      <c r="BH38" s="434">
        <f t="shared" si="14"/>
        <v>204</v>
      </c>
      <c r="BI38" s="434">
        <f t="shared" si="14"/>
        <v>204</v>
      </c>
      <c r="BJ38" s="434">
        <f t="shared" si="14"/>
        <v>204</v>
      </c>
      <c r="BK38" s="434">
        <f t="shared" si="14"/>
        <v>204</v>
      </c>
      <c r="BL38" s="434">
        <f t="shared" si="14"/>
        <v>204</v>
      </c>
      <c r="BM38" s="434">
        <f t="shared" si="14"/>
        <v>204</v>
      </c>
      <c r="BN38" s="434">
        <f t="shared" si="14"/>
        <v>204</v>
      </c>
      <c r="BO38" s="434">
        <f t="shared" si="14"/>
        <v>204</v>
      </c>
      <c r="BP38" s="504">
        <f t="shared" si="14"/>
        <v>204</v>
      </c>
      <c r="BQ38" s="610">
        <f t="shared" si="8"/>
        <v>2448</v>
      </c>
      <c r="BR38" s="589"/>
      <c r="BS38" s="590"/>
      <c r="BT38" s="539" t="s">
        <v>265</v>
      </c>
      <c r="BU38" s="494">
        <v>2449</v>
      </c>
      <c r="BV38" s="434">
        <f>2400/12</f>
        <v>200</v>
      </c>
      <c r="BW38" s="435"/>
      <c r="BX38" s="434">
        <f>2400/12</f>
        <v>200</v>
      </c>
      <c r="BY38" s="437"/>
      <c r="BZ38" s="434">
        <f>2400/12</f>
        <v>200</v>
      </c>
      <c r="CA38" s="437"/>
      <c r="CB38" s="434">
        <v>220</v>
      </c>
      <c r="CC38" s="437"/>
      <c r="CD38" s="434">
        <f>2400/12</f>
        <v>200</v>
      </c>
      <c r="CE38" s="437"/>
      <c r="CF38" s="434">
        <f>2400/12</f>
        <v>200</v>
      </c>
      <c r="CG38" s="437"/>
      <c r="CH38" s="434">
        <f>2400/12</f>
        <v>200</v>
      </c>
      <c r="CI38" s="437"/>
      <c r="CJ38" s="434">
        <v>220</v>
      </c>
      <c r="CK38" s="437"/>
      <c r="CL38" s="434">
        <f>2400/12</f>
        <v>200</v>
      </c>
      <c r="CM38" s="437"/>
      <c r="CN38" s="434">
        <f>2400/12</f>
        <v>200</v>
      </c>
      <c r="CO38" s="437"/>
      <c r="CP38" s="434">
        <f>2400/12</f>
        <v>200</v>
      </c>
      <c r="CQ38" s="437"/>
      <c r="CR38" s="504">
        <v>210</v>
      </c>
      <c r="CS38" s="616">
        <f t="shared" si="9"/>
        <v>2450</v>
      </c>
    </row>
    <row r="39" spans="1:97" ht="12" customHeight="1">
      <c r="A39" s="472" t="s">
        <v>80</v>
      </c>
      <c r="B39" s="385">
        <v>2825</v>
      </c>
      <c r="C39" s="386"/>
      <c r="D39" s="386"/>
      <c r="E39" s="386"/>
      <c r="F39" s="386"/>
      <c r="G39" s="386"/>
      <c r="H39" s="386"/>
      <c r="I39" s="387"/>
      <c r="J39" s="385"/>
      <c r="K39" s="388"/>
      <c r="L39" s="386"/>
      <c r="M39" s="386">
        <v>1500</v>
      </c>
      <c r="N39" s="386">
        <v>550</v>
      </c>
      <c r="O39" s="473">
        <f>SUM(E39:N39)</f>
        <v>2050</v>
      </c>
      <c r="P39" s="411"/>
      <c r="Q39" s="516" t="s">
        <v>80</v>
      </c>
      <c r="R39" s="494">
        <v>7111</v>
      </c>
      <c r="S39" s="434"/>
      <c r="T39" s="435"/>
      <c r="U39" s="434"/>
      <c r="V39" s="442"/>
      <c r="W39" s="436">
        <f>+(593*2)+2100</f>
        <v>3286</v>
      </c>
      <c r="X39" s="437"/>
      <c r="Y39" s="434"/>
      <c r="Z39" s="437"/>
      <c r="AA39" s="434"/>
      <c r="AB39" s="437"/>
      <c r="AC39" s="436">
        <f>593*3</f>
        <v>1779</v>
      </c>
      <c r="AD39" s="562"/>
      <c r="AE39" s="568"/>
      <c r="AF39" s="579"/>
      <c r="AG39" s="498"/>
      <c r="AH39" s="437"/>
      <c r="AI39" s="434">
        <v>1779</v>
      </c>
      <c r="AJ39" s="437"/>
      <c r="AK39" s="434"/>
      <c r="AL39" s="437"/>
      <c r="AM39" s="434"/>
      <c r="AN39" s="437"/>
      <c r="AO39" s="504">
        <v>1779</v>
      </c>
      <c r="AP39" s="610">
        <f>S39+U39+W39+Y39+AA39+AC39+AE39+AG39+AI39+AK39+AM39+AO39</f>
        <v>8623</v>
      </c>
      <c r="AQ39" s="587"/>
      <c r="AR39" s="550" t="s">
        <v>80</v>
      </c>
      <c r="AS39" s="537">
        <v>7253</v>
      </c>
      <c r="AT39" s="434">
        <v>1800</v>
      </c>
      <c r="AU39" s="435"/>
      <c r="AV39" s="434"/>
      <c r="AW39" s="437"/>
      <c r="AX39" s="434"/>
      <c r="AY39" s="437"/>
      <c r="AZ39" s="434">
        <v>1800</v>
      </c>
      <c r="BA39" s="437"/>
      <c r="BB39" s="434"/>
      <c r="BC39" s="437"/>
      <c r="BD39" s="434"/>
      <c r="BE39" s="437"/>
      <c r="BF39" s="434">
        <v>1800</v>
      </c>
      <c r="BG39" s="437"/>
      <c r="BH39" s="434"/>
      <c r="BI39" s="437"/>
      <c r="BJ39" s="434"/>
      <c r="BK39" s="437"/>
      <c r="BL39" s="434">
        <v>1800</v>
      </c>
      <c r="BM39" s="437"/>
      <c r="BN39" s="434"/>
      <c r="BO39" s="437"/>
      <c r="BP39" s="504"/>
      <c r="BQ39" s="610">
        <f>AT39+AV39+AZ39+BB39+BD39+BF39+BH39+BJ39+BL39+BN39+BP39+AX39</f>
        <v>7200</v>
      </c>
      <c r="BR39" s="589"/>
      <c r="BS39" s="590"/>
      <c r="BT39" s="539" t="s">
        <v>80</v>
      </c>
      <c r="BU39" s="494">
        <v>7253</v>
      </c>
      <c r="BV39" s="434"/>
      <c r="BW39" s="435"/>
      <c r="BX39" s="434">
        <v>1800</v>
      </c>
      <c r="BY39" s="437"/>
      <c r="BZ39" s="434"/>
      <c r="CA39" s="437"/>
      <c r="CB39" s="434">
        <v>1820</v>
      </c>
      <c r="CC39" s="437"/>
      <c r="CD39" s="434"/>
      <c r="CE39" s="437"/>
      <c r="CF39" s="434"/>
      <c r="CG39" s="437"/>
      <c r="CH39" s="434">
        <v>1820</v>
      </c>
      <c r="CI39" s="437"/>
      <c r="CJ39" s="434"/>
      <c r="CK39" s="437"/>
      <c r="CL39" s="434"/>
      <c r="CM39" s="437"/>
      <c r="CN39" s="434">
        <v>1813</v>
      </c>
      <c r="CO39" s="437"/>
      <c r="CP39" s="434"/>
      <c r="CQ39" s="437"/>
      <c r="CR39" s="504"/>
      <c r="CS39" s="616">
        <f>BV39+BX39+CB39+CD39+CF39+CH39+CJ39+CL39+CN39+CP39+CR39+BZ39</f>
        <v>7253</v>
      </c>
    </row>
    <row r="40" spans="1:97" ht="12" customHeight="1">
      <c r="A40" s="472" t="s">
        <v>84</v>
      </c>
      <c r="B40" s="385">
        <v>1500</v>
      </c>
      <c r="C40" s="386"/>
      <c r="D40" s="386"/>
      <c r="E40" s="386"/>
      <c r="F40" s="386"/>
      <c r="G40" s="386"/>
      <c r="H40" s="386"/>
      <c r="I40" s="387"/>
      <c r="J40" s="385"/>
      <c r="K40" s="388">
        <v>82.05</v>
      </c>
      <c r="L40" s="386"/>
      <c r="M40" s="386">
        <v>80</v>
      </c>
      <c r="N40" s="386">
        <v>80</v>
      </c>
      <c r="O40" s="473">
        <f t="shared" si="12"/>
        <v>242.05</v>
      </c>
      <c r="P40" s="411"/>
      <c r="Q40" s="516" t="s">
        <v>84</v>
      </c>
      <c r="R40" s="494">
        <v>800</v>
      </c>
      <c r="S40" s="434">
        <v>200</v>
      </c>
      <c r="T40" s="435">
        <v>201.99</v>
      </c>
      <c r="U40" s="434"/>
      <c r="V40" s="442"/>
      <c r="W40" s="434"/>
      <c r="X40" s="437"/>
      <c r="Y40" s="434"/>
      <c r="Z40" s="437"/>
      <c r="AA40" s="434">
        <v>40</v>
      </c>
      <c r="AB40" s="437"/>
      <c r="AC40" s="434">
        <v>80</v>
      </c>
      <c r="AD40" s="562"/>
      <c r="AE40" s="568">
        <v>80</v>
      </c>
      <c r="AF40" s="579"/>
      <c r="AG40" s="498">
        <v>80</v>
      </c>
      <c r="AH40" s="437"/>
      <c r="AI40" s="434">
        <v>80</v>
      </c>
      <c r="AJ40" s="437"/>
      <c r="AK40" s="434">
        <v>80</v>
      </c>
      <c r="AL40" s="437"/>
      <c r="AM40" s="434">
        <v>80</v>
      </c>
      <c r="AN40" s="437"/>
      <c r="AO40" s="504">
        <v>80</v>
      </c>
      <c r="AP40" s="610">
        <f t="shared" si="1"/>
        <v>800</v>
      </c>
      <c r="AQ40" s="587"/>
      <c r="AR40" s="550" t="s">
        <v>84</v>
      </c>
      <c r="AS40" s="537">
        <v>1020</v>
      </c>
      <c r="AT40" s="434">
        <v>200</v>
      </c>
      <c r="AU40" s="435"/>
      <c r="AV40" s="434"/>
      <c r="AW40" s="437"/>
      <c r="AX40" s="434"/>
      <c r="AY40" s="437"/>
      <c r="AZ40" s="434"/>
      <c r="BA40" s="437"/>
      <c r="BB40" s="434"/>
      <c r="BC40" s="437"/>
      <c r="BD40" s="434"/>
      <c r="BE40" s="437"/>
      <c r="BF40" s="434"/>
      <c r="BG40" s="437"/>
      <c r="BH40" s="434"/>
      <c r="BI40" s="437"/>
      <c r="BJ40" s="434"/>
      <c r="BK40" s="437"/>
      <c r="BL40" s="434"/>
      <c r="BM40" s="437"/>
      <c r="BN40" s="434">
        <v>100</v>
      </c>
      <c r="BO40" s="437"/>
      <c r="BP40" s="504"/>
      <c r="BQ40" s="610">
        <f t="shared" ref="BQ40:BQ46" si="15">AT40+AV40+AZ40+BB40+BD40+BF40+BH40+BJ40+BL40+BN40+BP40+AX40</f>
        <v>300</v>
      </c>
      <c r="BR40" s="589"/>
      <c r="BS40" s="590"/>
      <c r="BT40" s="539" t="s">
        <v>84</v>
      </c>
      <c r="BU40" s="494">
        <v>306</v>
      </c>
      <c r="BV40" s="434">
        <v>200</v>
      </c>
      <c r="BW40" s="435"/>
      <c r="BX40" s="434"/>
      <c r="BY40" s="437"/>
      <c r="BZ40" s="434"/>
      <c r="CA40" s="437"/>
      <c r="CB40" s="434"/>
      <c r="CC40" s="437"/>
      <c r="CD40" s="434"/>
      <c r="CE40" s="437"/>
      <c r="CF40" s="434"/>
      <c r="CG40" s="437"/>
      <c r="CH40" s="434"/>
      <c r="CI40" s="437"/>
      <c r="CJ40" s="434"/>
      <c r="CK40" s="437"/>
      <c r="CL40" s="434"/>
      <c r="CM40" s="437"/>
      <c r="CN40" s="434"/>
      <c r="CO40" s="437"/>
      <c r="CP40" s="434">
        <v>106</v>
      </c>
      <c r="CQ40" s="437"/>
      <c r="CR40" s="504"/>
      <c r="CS40" s="616">
        <f t="shared" ref="CS40:CS46" si="16">BV40+BX40+CB40+CD40+CF40+CH40+CJ40+CL40+CN40+CP40+CR40+BZ40</f>
        <v>306</v>
      </c>
    </row>
    <row r="41" spans="1:97" ht="12" customHeight="1">
      <c r="A41" s="472" t="s">
        <v>266</v>
      </c>
      <c r="B41" s="385">
        <v>275</v>
      </c>
      <c r="C41" s="386"/>
      <c r="D41" s="386"/>
      <c r="E41" s="386"/>
      <c r="F41" s="386"/>
      <c r="G41" s="386"/>
      <c r="H41" s="386"/>
      <c r="I41" s="387"/>
      <c r="J41" s="385"/>
      <c r="K41" s="388"/>
      <c r="L41" s="386"/>
      <c r="M41" s="386"/>
      <c r="N41" s="386"/>
      <c r="O41" s="473">
        <f t="shared" si="12"/>
        <v>0</v>
      </c>
      <c r="P41" s="411"/>
      <c r="Q41" s="516" t="s">
        <v>266</v>
      </c>
      <c r="R41" s="494">
        <v>320</v>
      </c>
      <c r="S41" s="434"/>
      <c r="T41" s="435"/>
      <c r="U41" s="434"/>
      <c r="V41" s="442"/>
      <c r="W41" s="434"/>
      <c r="X41" s="437"/>
      <c r="Y41" s="434"/>
      <c r="Z41" s="437"/>
      <c r="AA41" s="434">
        <v>40</v>
      </c>
      <c r="AB41" s="437"/>
      <c r="AC41" s="434">
        <v>40</v>
      </c>
      <c r="AD41" s="562"/>
      <c r="AE41" s="568">
        <v>40</v>
      </c>
      <c r="AF41" s="579"/>
      <c r="AG41" s="498">
        <v>40</v>
      </c>
      <c r="AH41" s="437"/>
      <c r="AI41" s="434">
        <v>40</v>
      </c>
      <c r="AJ41" s="437"/>
      <c r="AK41" s="434">
        <v>40</v>
      </c>
      <c r="AL41" s="437"/>
      <c r="AM41" s="434">
        <v>40</v>
      </c>
      <c r="AN41" s="437"/>
      <c r="AO41" s="504">
        <v>40</v>
      </c>
      <c r="AP41" s="610">
        <f t="shared" si="1"/>
        <v>320</v>
      </c>
      <c r="AQ41" s="587"/>
      <c r="AR41" s="550" t="s">
        <v>266</v>
      </c>
      <c r="AS41" s="537">
        <v>490</v>
      </c>
      <c r="AT41" s="434">
        <v>40</v>
      </c>
      <c r="AU41" s="435"/>
      <c r="AV41" s="434">
        <v>40</v>
      </c>
      <c r="AW41" s="437"/>
      <c r="AX41" s="434">
        <v>40</v>
      </c>
      <c r="AY41" s="437"/>
      <c r="AZ41" s="434">
        <v>40</v>
      </c>
      <c r="BA41" s="437"/>
      <c r="BB41" s="434">
        <v>40</v>
      </c>
      <c r="BC41" s="437"/>
      <c r="BD41" s="434">
        <v>40</v>
      </c>
      <c r="BE41" s="437"/>
      <c r="BF41" s="434">
        <v>40</v>
      </c>
      <c r="BG41" s="437"/>
      <c r="BH41" s="434">
        <v>40</v>
      </c>
      <c r="BI41" s="437"/>
      <c r="BJ41" s="434">
        <v>40</v>
      </c>
      <c r="BK41" s="437"/>
      <c r="BL41" s="434">
        <v>40</v>
      </c>
      <c r="BM41" s="437"/>
      <c r="BN41" s="434">
        <v>40</v>
      </c>
      <c r="BO41" s="437"/>
      <c r="BP41" s="504">
        <v>40</v>
      </c>
      <c r="BQ41" s="610">
        <f t="shared" si="15"/>
        <v>480</v>
      </c>
      <c r="BR41" s="589"/>
      <c r="BS41" s="590"/>
      <c r="BT41" s="539" t="s">
        <v>266</v>
      </c>
      <c r="BU41" s="494">
        <v>490</v>
      </c>
      <c r="BV41" s="434">
        <v>40</v>
      </c>
      <c r="BW41" s="435"/>
      <c r="BX41" s="434">
        <v>40</v>
      </c>
      <c r="BY41" s="437"/>
      <c r="BZ41" s="434">
        <v>40</v>
      </c>
      <c r="CA41" s="437"/>
      <c r="CB41" s="434">
        <v>40</v>
      </c>
      <c r="CC41" s="437"/>
      <c r="CD41" s="434">
        <v>40</v>
      </c>
      <c r="CE41" s="437"/>
      <c r="CF41" s="434">
        <v>40</v>
      </c>
      <c r="CG41" s="437"/>
      <c r="CH41" s="434">
        <v>40</v>
      </c>
      <c r="CI41" s="437"/>
      <c r="CJ41" s="434">
        <v>40</v>
      </c>
      <c r="CK41" s="437"/>
      <c r="CL41" s="434">
        <v>40</v>
      </c>
      <c r="CM41" s="437"/>
      <c r="CN41" s="434">
        <v>40</v>
      </c>
      <c r="CO41" s="437"/>
      <c r="CP41" s="434">
        <v>40</v>
      </c>
      <c r="CQ41" s="437"/>
      <c r="CR41" s="504">
        <v>50</v>
      </c>
      <c r="CS41" s="616">
        <f t="shared" si="16"/>
        <v>490</v>
      </c>
    </row>
    <row r="42" spans="1:97" ht="12" customHeight="1">
      <c r="A42" s="472" t="s">
        <v>267</v>
      </c>
      <c r="B42" s="385">
        <v>300</v>
      </c>
      <c r="C42" s="386"/>
      <c r="D42" s="386"/>
      <c r="E42" s="386"/>
      <c r="F42" s="386"/>
      <c r="G42" s="386"/>
      <c r="H42" s="386"/>
      <c r="I42" s="387"/>
      <c r="J42" s="385"/>
      <c r="K42" s="388">
        <v>15</v>
      </c>
      <c r="L42" s="389">
        <v>90</v>
      </c>
      <c r="M42" s="386">
        <v>60</v>
      </c>
      <c r="N42" s="386">
        <v>60</v>
      </c>
      <c r="O42" s="473">
        <f t="shared" si="12"/>
        <v>225</v>
      </c>
      <c r="P42" s="411"/>
      <c r="Q42" s="516" t="s">
        <v>268</v>
      </c>
      <c r="R42" s="494">
        <v>620</v>
      </c>
      <c r="S42" s="434">
        <v>50</v>
      </c>
      <c r="T42" s="435">
        <f>30+15</f>
        <v>45</v>
      </c>
      <c r="U42" s="434">
        <v>50</v>
      </c>
      <c r="V42" s="442">
        <v>74.83</v>
      </c>
      <c r="W42" s="434">
        <v>50</v>
      </c>
      <c r="X42" s="437"/>
      <c r="Y42" s="434">
        <v>50</v>
      </c>
      <c r="Z42" s="437"/>
      <c r="AA42" s="434">
        <v>50</v>
      </c>
      <c r="AB42" s="437"/>
      <c r="AC42" s="434">
        <v>50</v>
      </c>
      <c r="AD42" s="562"/>
      <c r="AE42" s="568">
        <v>50</v>
      </c>
      <c r="AF42" s="579"/>
      <c r="AG42" s="498">
        <v>50</v>
      </c>
      <c r="AH42" s="437"/>
      <c r="AI42" s="434">
        <v>50</v>
      </c>
      <c r="AJ42" s="437"/>
      <c r="AK42" s="434">
        <v>50</v>
      </c>
      <c r="AL42" s="437"/>
      <c r="AM42" s="434">
        <v>60</v>
      </c>
      <c r="AN42" s="437"/>
      <c r="AO42" s="504">
        <v>60</v>
      </c>
      <c r="AP42" s="610">
        <f t="shared" si="1"/>
        <v>620</v>
      </c>
      <c r="AQ42" s="587"/>
      <c r="AR42" s="550" t="s">
        <v>268</v>
      </c>
      <c r="AS42" s="537">
        <v>734</v>
      </c>
      <c r="AT42" s="434">
        <v>50</v>
      </c>
      <c r="AU42" s="435"/>
      <c r="AV42" s="434">
        <v>50</v>
      </c>
      <c r="AW42" s="437"/>
      <c r="AX42" s="434">
        <v>50</v>
      </c>
      <c r="AY42" s="437"/>
      <c r="AZ42" s="434">
        <v>50</v>
      </c>
      <c r="BA42" s="437"/>
      <c r="BB42" s="434">
        <v>50</v>
      </c>
      <c r="BC42" s="437"/>
      <c r="BD42" s="434">
        <v>50</v>
      </c>
      <c r="BE42" s="437"/>
      <c r="BF42" s="434">
        <v>50</v>
      </c>
      <c r="BG42" s="437"/>
      <c r="BH42" s="434">
        <v>50</v>
      </c>
      <c r="BI42" s="437"/>
      <c r="BJ42" s="434">
        <v>50</v>
      </c>
      <c r="BK42" s="437"/>
      <c r="BL42" s="434">
        <v>50</v>
      </c>
      <c r="BM42" s="437"/>
      <c r="BN42" s="434">
        <v>60</v>
      </c>
      <c r="BO42" s="437"/>
      <c r="BP42" s="504">
        <v>60</v>
      </c>
      <c r="BQ42" s="610">
        <f t="shared" si="15"/>
        <v>620</v>
      </c>
      <c r="BR42" s="589"/>
      <c r="BS42" s="590"/>
      <c r="BT42" s="539" t="s">
        <v>268</v>
      </c>
      <c r="BU42" s="494">
        <v>734</v>
      </c>
      <c r="BV42" s="434">
        <v>60</v>
      </c>
      <c r="BW42" s="435"/>
      <c r="BX42" s="434">
        <v>60</v>
      </c>
      <c r="BY42" s="437"/>
      <c r="BZ42" s="434">
        <v>60</v>
      </c>
      <c r="CA42" s="437"/>
      <c r="CB42" s="434">
        <v>60</v>
      </c>
      <c r="CC42" s="437"/>
      <c r="CD42" s="434">
        <v>60</v>
      </c>
      <c r="CE42" s="437"/>
      <c r="CF42" s="434">
        <v>60</v>
      </c>
      <c r="CG42" s="437"/>
      <c r="CH42" s="434">
        <v>60</v>
      </c>
      <c r="CI42" s="437"/>
      <c r="CJ42" s="434">
        <v>60</v>
      </c>
      <c r="CK42" s="437"/>
      <c r="CL42" s="434">
        <v>60</v>
      </c>
      <c r="CM42" s="437"/>
      <c r="CN42" s="434">
        <v>60</v>
      </c>
      <c r="CO42" s="437"/>
      <c r="CP42" s="434">
        <v>70</v>
      </c>
      <c r="CQ42" s="437"/>
      <c r="CR42" s="504">
        <v>70</v>
      </c>
      <c r="CS42" s="616">
        <f t="shared" si="16"/>
        <v>740</v>
      </c>
    </row>
    <row r="43" spans="1:97" ht="12" customHeight="1">
      <c r="A43" s="472" t="s">
        <v>269</v>
      </c>
      <c r="B43" s="385">
        <v>360</v>
      </c>
      <c r="C43" s="386"/>
      <c r="D43" s="386"/>
      <c r="E43" s="386"/>
      <c r="F43" s="386"/>
      <c r="G43" s="386"/>
      <c r="H43" s="386"/>
      <c r="I43" s="387"/>
      <c r="J43" s="385"/>
      <c r="K43" s="388"/>
      <c r="L43" s="386"/>
      <c r="M43" s="386">
        <v>100</v>
      </c>
      <c r="N43" s="386">
        <v>60</v>
      </c>
      <c r="O43" s="473">
        <f t="shared" si="12"/>
        <v>160</v>
      </c>
      <c r="P43" s="411"/>
      <c r="Q43" s="516" t="s">
        <v>269</v>
      </c>
      <c r="R43" s="494">
        <v>1400</v>
      </c>
      <c r="S43" s="434">
        <v>400</v>
      </c>
      <c r="T43" s="435">
        <v>222.89</v>
      </c>
      <c r="U43" s="434">
        <v>100</v>
      </c>
      <c r="V43" s="442">
        <v>92.76</v>
      </c>
      <c r="W43" s="434">
        <v>100</v>
      </c>
      <c r="X43" s="437"/>
      <c r="Y43" s="434">
        <v>100</v>
      </c>
      <c r="Z43" s="437"/>
      <c r="AA43" s="434">
        <v>100</v>
      </c>
      <c r="AB43" s="437"/>
      <c r="AC43" s="434">
        <v>100</v>
      </c>
      <c r="AD43" s="562"/>
      <c r="AE43" s="568">
        <v>100</v>
      </c>
      <c r="AF43" s="579"/>
      <c r="AG43" s="498">
        <v>100</v>
      </c>
      <c r="AH43" s="437"/>
      <c r="AI43" s="434">
        <v>100</v>
      </c>
      <c r="AJ43" s="437"/>
      <c r="AK43" s="434">
        <v>100</v>
      </c>
      <c r="AL43" s="437"/>
      <c r="AM43" s="434">
        <v>100</v>
      </c>
      <c r="AN43" s="437"/>
      <c r="AO43" s="504">
        <v>100</v>
      </c>
      <c r="AP43" s="610">
        <f t="shared" si="1"/>
        <v>1500</v>
      </c>
      <c r="AQ43" s="587"/>
      <c r="AR43" s="550" t="s">
        <v>269</v>
      </c>
      <c r="AS43" s="537">
        <v>1428</v>
      </c>
      <c r="AT43" s="434">
        <v>400</v>
      </c>
      <c r="AU43" s="435"/>
      <c r="AV43" s="434">
        <v>100</v>
      </c>
      <c r="AW43" s="437"/>
      <c r="AX43" s="434">
        <v>100</v>
      </c>
      <c r="AY43" s="437"/>
      <c r="AZ43" s="434">
        <v>100</v>
      </c>
      <c r="BA43" s="437"/>
      <c r="BB43" s="434">
        <v>100</v>
      </c>
      <c r="BC43" s="437"/>
      <c r="BD43" s="434">
        <v>100</v>
      </c>
      <c r="BE43" s="437"/>
      <c r="BF43" s="434">
        <v>100</v>
      </c>
      <c r="BG43" s="437"/>
      <c r="BH43" s="434">
        <v>100</v>
      </c>
      <c r="BI43" s="437"/>
      <c r="BJ43" s="434">
        <v>100</v>
      </c>
      <c r="BK43" s="437"/>
      <c r="BL43" s="434">
        <v>100</v>
      </c>
      <c r="BM43" s="437"/>
      <c r="BN43" s="434">
        <v>100</v>
      </c>
      <c r="BO43" s="437"/>
      <c r="BP43" s="504">
        <v>100</v>
      </c>
      <c r="BQ43" s="610">
        <f t="shared" si="15"/>
        <v>1500</v>
      </c>
      <c r="BR43" s="589"/>
      <c r="BS43" s="590"/>
      <c r="BT43" s="539" t="s">
        <v>269</v>
      </c>
      <c r="BU43" s="494">
        <v>1428</v>
      </c>
      <c r="BV43" s="434">
        <v>100</v>
      </c>
      <c r="BW43" s="435"/>
      <c r="BX43" s="434">
        <v>100</v>
      </c>
      <c r="BY43" s="437"/>
      <c r="BZ43" s="434">
        <v>200</v>
      </c>
      <c r="CA43" s="437"/>
      <c r="CB43" s="434">
        <v>100</v>
      </c>
      <c r="CC43" s="437"/>
      <c r="CD43" s="434">
        <v>100</v>
      </c>
      <c r="CE43" s="437"/>
      <c r="CF43" s="434">
        <v>100</v>
      </c>
      <c r="CG43" s="437"/>
      <c r="CH43" s="434">
        <v>200</v>
      </c>
      <c r="CI43" s="437"/>
      <c r="CJ43" s="434">
        <v>100</v>
      </c>
      <c r="CK43" s="437"/>
      <c r="CL43" s="434">
        <v>100</v>
      </c>
      <c r="CM43" s="437"/>
      <c r="CN43" s="434">
        <v>100</v>
      </c>
      <c r="CO43" s="437"/>
      <c r="CP43" s="434">
        <v>100</v>
      </c>
      <c r="CQ43" s="437"/>
      <c r="CR43" s="504">
        <v>128</v>
      </c>
      <c r="CS43" s="616">
        <f t="shared" si="16"/>
        <v>1428</v>
      </c>
    </row>
    <row r="44" spans="1:97" ht="12" customHeight="1">
      <c r="A44" s="472" t="s">
        <v>270</v>
      </c>
      <c r="B44" s="385">
        <v>410</v>
      </c>
      <c r="C44" s="386"/>
      <c r="D44" s="386"/>
      <c r="E44" s="386"/>
      <c r="F44" s="386"/>
      <c r="G44" s="386"/>
      <c r="H44" s="386"/>
      <c r="I44" s="387"/>
      <c r="J44" s="385"/>
      <c r="K44" s="388"/>
      <c r="L44" s="386"/>
      <c r="M44" s="386">
        <v>75</v>
      </c>
      <c r="N44" s="386">
        <v>75</v>
      </c>
      <c r="O44" s="473">
        <f t="shared" si="12"/>
        <v>150</v>
      </c>
      <c r="P44" s="411"/>
      <c r="Q44" s="516" t="s">
        <v>270</v>
      </c>
      <c r="R44" s="493"/>
      <c r="S44" s="434"/>
      <c r="T44" s="435"/>
      <c r="U44" s="434"/>
      <c r="V44" s="442"/>
      <c r="W44" s="434"/>
      <c r="X44" s="437"/>
      <c r="Y44" s="434"/>
      <c r="Z44" s="437"/>
      <c r="AA44" s="434"/>
      <c r="AB44" s="437"/>
      <c r="AC44" s="434"/>
      <c r="AD44" s="562"/>
      <c r="AE44" s="568"/>
      <c r="AF44" s="579"/>
      <c r="AG44" s="498"/>
      <c r="AH44" s="437"/>
      <c r="AI44" s="434"/>
      <c r="AJ44" s="437"/>
      <c r="AK44" s="434"/>
      <c r="AL44" s="437"/>
      <c r="AM44" s="434"/>
      <c r="AN44" s="437"/>
      <c r="AO44" s="504"/>
      <c r="AP44" s="610">
        <f t="shared" si="1"/>
        <v>0</v>
      </c>
      <c r="AQ44" s="587"/>
      <c r="AR44" s="550" t="s">
        <v>270</v>
      </c>
      <c r="AS44" s="493"/>
      <c r="AT44" s="434"/>
      <c r="AU44" s="435"/>
      <c r="AV44" s="434"/>
      <c r="AW44" s="437"/>
      <c r="AX44" s="434"/>
      <c r="AY44" s="437"/>
      <c r="AZ44" s="434"/>
      <c r="BA44" s="437"/>
      <c r="BB44" s="434"/>
      <c r="BC44" s="437"/>
      <c r="BD44" s="434"/>
      <c r="BE44" s="437"/>
      <c r="BF44" s="434"/>
      <c r="BG44" s="437"/>
      <c r="BH44" s="434"/>
      <c r="BI44" s="437"/>
      <c r="BJ44" s="434"/>
      <c r="BK44" s="437"/>
      <c r="BL44" s="434"/>
      <c r="BM44" s="437"/>
      <c r="BN44" s="434"/>
      <c r="BO44" s="437"/>
      <c r="BP44" s="504"/>
      <c r="BQ44" s="610">
        <f t="shared" si="15"/>
        <v>0</v>
      </c>
      <c r="BR44" s="589"/>
      <c r="BS44" s="590"/>
      <c r="BT44" s="539" t="s">
        <v>270</v>
      </c>
      <c r="BU44" s="493"/>
      <c r="BV44" s="434"/>
      <c r="BW44" s="435"/>
      <c r="BX44" s="434"/>
      <c r="BY44" s="437"/>
      <c r="BZ44" s="434"/>
      <c r="CA44" s="437"/>
      <c r="CB44" s="434"/>
      <c r="CC44" s="437"/>
      <c r="CD44" s="434"/>
      <c r="CE44" s="437"/>
      <c r="CF44" s="434"/>
      <c r="CG44" s="437"/>
      <c r="CH44" s="434"/>
      <c r="CI44" s="437"/>
      <c r="CJ44" s="434"/>
      <c r="CK44" s="437"/>
      <c r="CL44" s="434"/>
      <c r="CM44" s="437"/>
      <c r="CN44" s="434"/>
      <c r="CO44" s="437"/>
      <c r="CP44" s="434"/>
      <c r="CQ44" s="437"/>
      <c r="CR44" s="504"/>
      <c r="CS44" s="616">
        <f t="shared" si="16"/>
        <v>0</v>
      </c>
    </row>
    <row r="45" spans="1:97" ht="12" customHeight="1">
      <c r="A45" s="472" t="s">
        <v>88</v>
      </c>
      <c r="B45" s="385">
        <v>120</v>
      </c>
      <c r="C45" s="386"/>
      <c r="D45" s="386"/>
      <c r="E45" s="386"/>
      <c r="F45" s="386"/>
      <c r="G45" s="386"/>
      <c r="H45" s="386"/>
      <c r="I45" s="387"/>
      <c r="J45" s="385">
        <v>48</v>
      </c>
      <c r="K45" s="388"/>
      <c r="L45" s="386"/>
      <c r="M45" s="386"/>
      <c r="N45" s="386">
        <v>45</v>
      </c>
      <c r="O45" s="473">
        <f t="shared" si="12"/>
        <v>93</v>
      </c>
      <c r="P45" s="411"/>
      <c r="Q45" s="516" t="s">
        <v>88</v>
      </c>
      <c r="R45" s="494">
        <v>240</v>
      </c>
      <c r="S45" s="434">
        <v>20</v>
      </c>
      <c r="T45" s="435"/>
      <c r="U45" s="434">
        <v>20</v>
      </c>
      <c r="V45" s="442"/>
      <c r="W45" s="434">
        <v>20</v>
      </c>
      <c r="X45" s="437"/>
      <c r="Y45" s="434">
        <v>20</v>
      </c>
      <c r="Z45" s="437"/>
      <c r="AA45" s="434">
        <v>20</v>
      </c>
      <c r="AB45" s="437"/>
      <c r="AC45" s="434">
        <v>20</v>
      </c>
      <c r="AD45" s="562"/>
      <c r="AE45" s="568">
        <v>20</v>
      </c>
      <c r="AF45" s="579"/>
      <c r="AG45" s="498">
        <v>20</v>
      </c>
      <c r="AH45" s="437"/>
      <c r="AI45" s="434">
        <v>20</v>
      </c>
      <c r="AJ45" s="437"/>
      <c r="AK45" s="434">
        <v>20</v>
      </c>
      <c r="AL45" s="437"/>
      <c r="AM45" s="434">
        <v>20</v>
      </c>
      <c r="AN45" s="437"/>
      <c r="AO45" s="504">
        <v>20</v>
      </c>
      <c r="AP45" s="610">
        <f t="shared" si="1"/>
        <v>240</v>
      </c>
      <c r="AQ45" s="587"/>
      <c r="AR45" s="550" t="s">
        <v>88</v>
      </c>
      <c r="AS45" s="537">
        <v>245</v>
      </c>
      <c r="AT45" s="434">
        <v>20</v>
      </c>
      <c r="AU45" s="435"/>
      <c r="AV45" s="434">
        <v>20</v>
      </c>
      <c r="AW45" s="437"/>
      <c r="AX45" s="434">
        <v>20</v>
      </c>
      <c r="AY45" s="437"/>
      <c r="AZ45" s="434">
        <v>20</v>
      </c>
      <c r="BA45" s="437"/>
      <c r="BB45" s="434">
        <v>20</v>
      </c>
      <c r="BC45" s="437"/>
      <c r="BD45" s="434">
        <v>20</v>
      </c>
      <c r="BE45" s="437"/>
      <c r="BF45" s="434">
        <v>20</v>
      </c>
      <c r="BG45" s="437"/>
      <c r="BH45" s="434">
        <v>20</v>
      </c>
      <c r="BI45" s="437"/>
      <c r="BJ45" s="434">
        <v>20</v>
      </c>
      <c r="BK45" s="437"/>
      <c r="BL45" s="434">
        <v>20</v>
      </c>
      <c r="BM45" s="437"/>
      <c r="BN45" s="434">
        <v>20</v>
      </c>
      <c r="BO45" s="437"/>
      <c r="BP45" s="504">
        <v>20</v>
      </c>
      <c r="BQ45" s="610">
        <f t="shared" si="15"/>
        <v>240</v>
      </c>
      <c r="BR45" s="589"/>
      <c r="BS45" s="590"/>
      <c r="BT45" s="539" t="s">
        <v>88</v>
      </c>
      <c r="BU45" s="494">
        <v>246</v>
      </c>
      <c r="BV45" s="434">
        <v>20</v>
      </c>
      <c r="BW45" s="435"/>
      <c r="BX45" s="434">
        <v>20</v>
      </c>
      <c r="BY45" s="437"/>
      <c r="BZ45" s="434">
        <v>20</v>
      </c>
      <c r="CA45" s="437"/>
      <c r="CB45" s="434">
        <v>20</v>
      </c>
      <c r="CC45" s="437"/>
      <c r="CD45" s="434">
        <v>20</v>
      </c>
      <c r="CE45" s="437"/>
      <c r="CF45" s="434">
        <v>20</v>
      </c>
      <c r="CG45" s="437"/>
      <c r="CH45" s="434">
        <v>20</v>
      </c>
      <c r="CI45" s="437"/>
      <c r="CJ45" s="434">
        <v>20</v>
      </c>
      <c r="CK45" s="437"/>
      <c r="CL45" s="434">
        <v>20</v>
      </c>
      <c r="CM45" s="437"/>
      <c r="CN45" s="434">
        <v>20</v>
      </c>
      <c r="CO45" s="437"/>
      <c r="CP45" s="434">
        <v>20</v>
      </c>
      <c r="CQ45" s="437"/>
      <c r="CR45" s="504">
        <v>26</v>
      </c>
      <c r="CS45" s="616">
        <f t="shared" si="16"/>
        <v>246</v>
      </c>
    </row>
    <row r="46" spans="1:97" ht="12" customHeight="1">
      <c r="A46" s="472" t="s">
        <v>271</v>
      </c>
      <c r="B46" s="385">
        <v>1400</v>
      </c>
      <c r="C46" s="386"/>
      <c r="D46" s="386"/>
      <c r="E46" s="386"/>
      <c r="F46" s="386"/>
      <c r="G46" s="386"/>
      <c r="H46" s="386"/>
      <c r="I46" s="387"/>
      <c r="J46" s="385"/>
      <c r="K46" s="388">
        <v>173</v>
      </c>
      <c r="L46" s="386"/>
      <c r="M46" s="386">
        <v>55</v>
      </c>
      <c r="N46" s="386">
        <v>700</v>
      </c>
      <c r="O46" s="473">
        <f>SUM(J46:N46)</f>
        <v>928</v>
      </c>
      <c r="P46" s="411"/>
      <c r="Q46" s="516" t="s">
        <v>272</v>
      </c>
      <c r="R46" s="494">
        <v>2352</v>
      </c>
      <c r="S46" s="434">
        <v>200</v>
      </c>
      <c r="T46" s="435"/>
      <c r="U46" s="434">
        <v>200</v>
      </c>
      <c r="V46" s="442">
        <v>185</v>
      </c>
      <c r="W46" s="434">
        <v>200</v>
      </c>
      <c r="X46" s="437"/>
      <c r="Y46" s="434">
        <v>200</v>
      </c>
      <c r="Z46" s="437"/>
      <c r="AA46" s="434">
        <v>200</v>
      </c>
      <c r="AB46" s="437"/>
      <c r="AC46" s="434">
        <v>200</v>
      </c>
      <c r="AD46" s="562"/>
      <c r="AE46" s="568">
        <v>200</v>
      </c>
      <c r="AF46" s="579"/>
      <c r="AG46" s="498">
        <v>200</v>
      </c>
      <c r="AH46" s="437"/>
      <c r="AI46" s="434">
        <v>200</v>
      </c>
      <c r="AJ46" s="437"/>
      <c r="AK46" s="434">
        <v>200</v>
      </c>
      <c r="AL46" s="437"/>
      <c r="AM46" s="434">
        <v>200</v>
      </c>
      <c r="AN46" s="437"/>
      <c r="AO46" s="504">
        <v>200</v>
      </c>
      <c r="AP46" s="610">
        <f t="shared" si="1"/>
        <v>2400</v>
      </c>
      <c r="AQ46" s="587"/>
      <c r="AR46" s="550" t="s">
        <v>272</v>
      </c>
      <c r="AS46" s="537">
        <v>2399</v>
      </c>
      <c r="AT46" s="434">
        <v>200</v>
      </c>
      <c r="AU46" s="435"/>
      <c r="AV46" s="434">
        <v>200</v>
      </c>
      <c r="AW46" s="437"/>
      <c r="AX46" s="434">
        <v>200</v>
      </c>
      <c r="AY46" s="437"/>
      <c r="AZ46" s="434">
        <v>200</v>
      </c>
      <c r="BA46" s="437"/>
      <c r="BB46" s="434">
        <v>200</v>
      </c>
      <c r="BC46" s="437"/>
      <c r="BD46" s="434">
        <v>200</v>
      </c>
      <c r="BE46" s="437"/>
      <c r="BF46" s="434">
        <v>200</v>
      </c>
      <c r="BG46" s="437"/>
      <c r="BH46" s="434">
        <v>200</v>
      </c>
      <c r="BI46" s="437"/>
      <c r="BJ46" s="434">
        <v>200</v>
      </c>
      <c r="BK46" s="437"/>
      <c r="BL46" s="434">
        <v>200</v>
      </c>
      <c r="BM46" s="437"/>
      <c r="BN46" s="434">
        <v>200</v>
      </c>
      <c r="BO46" s="437"/>
      <c r="BP46" s="504">
        <v>200</v>
      </c>
      <c r="BQ46" s="610">
        <f t="shared" si="15"/>
        <v>2400</v>
      </c>
      <c r="BR46" s="589"/>
      <c r="BS46" s="590"/>
      <c r="BT46" s="539" t="s">
        <v>272</v>
      </c>
      <c r="BU46" s="494">
        <v>2400</v>
      </c>
      <c r="BV46" s="434">
        <v>200</v>
      </c>
      <c r="BW46" s="435"/>
      <c r="BX46" s="434">
        <v>200</v>
      </c>
      <c r="BY46" s="437"/>
      <c r="BZ46" s="434">
        <v>200</v>
      </c>
      <c r="CA46" s="437"/>
      <c r="CB46" s="434">
        <v>200</v>
      </c>
      <c r="CC46" s="437"/>
      <c r="CD46" s="434">
        <v>200</v>
      </c>
      <c r="CE46" s="437"/>
      <c r="CF46" s="434">
        <v>200</v>
      </c>
      <c r="CG46" s="437"/>
      <c r="CH46" s="434">
        <v>200</v>
      </c>
      <c r="CI46" s="437"/>
      <c r="CJ46" s="434">
        <v>200</v>
      </c>
      <c r="CK46" s="437"/>
      <c r="CL46" s="434">
        <v>200</v>
      </c>
      <c r="CM46" s="437"/>
      <c r="CN46" s="434">
        <v>200</v>
      </c>
      <c r="CO46" s="437"/>
      <c r="CP46" s="434">
        <v>200</v>
      </c>
      <c r="CQ46" s="437"/>
      <c r="CR46" s="504">
        <v>200</v>
      </c>
      <c r="CS46" s="616">
        <f t="shared" si="16"/>
        <v>2400</v>
      </c>
    </row>
    <row r="47" spans="1:97" ht="12" customHeight="1">
      <c r="A47" s="472" t="s">
        <v>273</v>
      </c>
      <c r="B47" s="391"/>
      <c r="C47" s="386"/>
      <c r="D47" s="386"/>
      <c r="E47" s="386"/>
      <c r="F47" s="386"/>
      <c r="G47" s="386"/>
      <c r="H47" s="386"/>
      <c r="I47" s="387"/>
      <c r="J47" s="385"/>
      <c r="K47" s="388"/>
      <c r="L47" s="390"/>
      <c r="M47" s="390"/>
      <c r="N47" s="390"/>
      <c r="O47" s="473">
        <f>SUM(E47:N47)</f>
        <v>0</v>
      </c>
      <c r="P47" s="411"/>
      <c r="Q47" s="516"/>
      <c r="R47" s="493"/>
      <c r="S47" s="434"/>
      <c r="T47" s="435"/>
      <c r="U47" s="434" t="s">
        <v>216</v>
      </c>
      <c r="V47" s="442"/>
      <c r="W47" s="434"/>
      <c r="X47" s="437"/>
      <c r="Y47" s="434"/>
      <c r="Z47" s="437"/>
      <c r="AA47" s="434"/>
      <c r="AB47" s="437"/>
      <c r="AC47" s="434"/>
      <c r="AD47" s="562"/>
      <c r="AE47" s="568"/>
      <c r="AF47" s="579"/>
      <c r="AG47" s="498"/>
      <c r="AH47" s="437"/>
      <c r="AI47" s="434"/>
      <c r="AJ47" s="437"/>
      <c r="AK47" s="434"/>
      <c r="AL47" s="437"/>
      <c r="AM47" s="434"/>
      <c r="AN47" s="437"/>
      <c r="AO47" s="504"/>
      <c r="AP47" s="610"/>
      <c r="AQ47" s="587"/>
      <c r="AR47" s="550"/>
      <c r="AS47" s="493"/>
      <c r="AT47" s="434"/>
      <c r="AU47" s="435"/>
      <c r="AV47" s="434" t="s">
        <v>216</v>
      </c>
      <c r="AW47" s="437"/>
      <c r="AX47" s="434"/>
      <c r="AY47" s="437"/>
      <c r="AZ47" s="434"/>
      <c r="BA47" s="437"/>
      <c r="BB47" s="434"/>
      <c r="BC47" s="437"/>
      <c r="BD47" s="434"/>
      <c r="BE47" s="437"/>
      <c r="BF47" s="434"/>
      <c r="BG47" s="437"/>
      <c r="BH47" s="434"/>
      <c r="BI47" s="437"/>
      <c r="BJ47" s="434"/>
      <c r="BK47" s="437"/>
      <c r="BL47" s="434"/>
      <c r="BM47" s="437"/>
      <c r="BN47" s="434"/>
      <c r="BO47" s="437"/>
      <c r="BP47" s="504"/>
      <c r="BQ47" s="610"/>
      <c r="BR47" s="589"/>
      <c r="BS47" s="590"/>
      <c r="BT47" s="539"/>
      <c r="BU47" s="493"/>
      <c r="BV47" s="434"/>
      <c r="BW47" s="435"/>
      <c r="BX47" s="434" t="s">
        <v>216</v>
      </c>
      <c r="BY47" s="437"/>
      <c r="BZ47" s="434"/>
      <c r="CA47" s="437"/>
      <c r="CB47" s="434"/>
      <c r="CC47" s="437"/>
      <c r="CD47" s="434"/>
      <c r="CE47" s="437"/>
      <c r="CF47" s="434"/>
      <c r="CG47" s="437"/>
      <c r="CH47" s="434"/>
      <c r="CI47" s="437"/>
      <c r="CJ47" s="434"/>
      <c r="CK47" s="437"/>
      <c r="CL47" s="434"/>
      <c r="CM47" s="437"/>
      <c r="CN47" s="434"/>
      <c r="CO47" s="437"/>
      <c r="CP47" s="434"/>
      <c r="CQ47" s="437"/>
      <c r="CR47" s="504"/>
      <c r="CS47" s="616"/>
    </row>
    <row r="48" spans="1:97" ht="12" customHeight="1">
      <c r="A48" s="480" t="s">
        <v>274</v>
      </c>
      <c r="B48" s="385">
        <v>2880</v>
      </c>
      <c r="C48" s="386"/>
      <c r="D48" s="386"/>
      <c r="E48" s="386"/>
      <c r="F48" s="386"/>
      <c r="G48" s="386"/>
      <c r="H48" s="386"/>
      <c r="I48" s="387"/>
      <c r="J48" s="385"/>
      <c r="K48" s="388"/>
      <c r="L48" s="386"/>
      <c r="M48" s="386">
        <v>2680</v>
      </c>
      <c r="N48" s="386">
        <v>670</v>
      </c>
      <c r="O48" s="473">
        <f>SUM(I48:N48)</f>
        <v>3350</v>
      </c>
      <c r="P48" s="411"/>
      <c r="Q48" s="522"/>
      <c r="R48" s="498"/>
      <c r="S48" s="434"/>
      <c r="T48" s="435"/>
      <c r="U48" s="434"/>
      <c r="V48" s="442"/>
      <c r="W48" s="434"/>
      <c r="X48" s="437"/>
      <c r="Y48" s="434"/>
      <c r="Z48" s="437"/>
      <c r="AA48" s="434"/>
      <c r="AB48" s="437"/>
      <c r="AC48" s="434"/>
      <c r="AD48" s="562"/>
      <c r="AE48" s="568"/>
      <c r="AF48" s="579"/>
      <c r="AG48" s="498"/>
      <c r="AH48" s="437"/>
      <c r="AI48" s="434"/>
      <c r="AJ48" s="437"/>
      <c r="AK48" s="434"/>
      <c r="AL48" s="437"/>
      <c r="AM48" s="434"/>
      <c r="AN48" s="437"/>
      <c r="AO48" s="504"/>
      <c r="AP48" s="610"/>
      <c r="AQ48" s="587"/>
      <c r="AR48" s="555"/>
      <c r="AS48" s="498"/>
      <c r="AT48" s="434"/>
      <c r="AU48" s="435"/>
      <c r="AV48" s="434"/>
      <c r="AW48" s="437"/>
      <c r="AX48" s="434"/>
      <c r="AY48" s="437"/>
      <c r="AZ48" s="434"/>
      <c r="BA48" s="437"/>
      <c r="BB48" s="434"/>
      <c r="BC48" s="437"/>
      <c r="BD48" s="434"/>
      <c r="BE48" s="437"/>
      <c r="BF48" s="434"/>
      <c r="BG48" s="437"/>
      <c r="BH48" s="434"/>
      <c r="BI48" s="437"/>
      <c r="BJ48" s="434"/>
      <c r="BK48" s="437"/>
      <c r="BL48" s="434"/>
      <c r="BM48" s="437"/>
      <c r="BN48" s="434"/>
      <c r="BO48" s="437"/>
      <c r="BP48" s="504"/>
      <c r="BQ48" s="610"/>
      <c r="BR48" s="589"/>
      <c r="BS48" s="590"/>
      <c r="BT48" s="544"/>
      <c r="BU48" s="498"/>
      <c r="BV48" s="434"/>
      <c r="BW48" s="435"/>
      <c r="BX48" s="434"/>
      <c r="BY48" s="437"/>
      <c r="BZ48" s="434"/>
      <c r="CA48" s="437"/>
      <c r="CB48" s="434"/>
      <c r="CC48" s="437"/>
      <c r="CD48" s="434"/>
      <c r="CE48" s="437"/>
      <c r="CF48" s="434"/>
      <c r="CG48" s="437"/>
      <c r="CH48" s="434"/>
      <c r="CI48" s="437"/>
      <c r="CJ48" s="434"/>
      <c r="CK48" s="437"/>
      <c r="CL48" s="434"/>
      <c r="CM48" s="437"/>
      <c r="CN48" s="434"/>
      <c r="CO48" s="437"/>
      <c r="CP48" s="434"/>
      <c r="CQ48" s="437"/>
      <c r="CR48" s="504"/>
      <c r="CS48" s="616"/>
    </row>
    <row r="49" spans="1:97" ht="12" customHeight="1">
      <c r="A49" s="480"/>
      <c r="B49" s="385"/>
      <c r="C49" s="386"/>
      <c r="D49" s="386"/>
      <c r="E49" s="386"/>
      <c r="F49" s="386"/>
      <c r="G49" s="386"/>
      <c r="H49" s="386"/>
      <c r="I49" s="387"/>
      <c r="J49" s="385"/>
      <c r="K49" s="388"/>
      <c r="L49" s="386"/>
      <c r="M49" s="386"/>
      <c r="N49" s="386"/>
      <c r="O49" s="473"/>
      <c r="P49" s="411"/>
      <c r="Q49" s="522"/>
      <c r="R49" s="498"/>
      <c r="S49" s="434"/>
      <c r="T49" s="435"/>
      <c r="U49" s="434"/>
      <c r="V49" s="442"/>
      <c r="W49" s="434"/>
      <c r="X49" s="437"/>
      <c r="Y49" s="434"/>
      <c r="Z49" s="437"/>
      <c r="AA49" s="434"/>
      <c r="AB49" s="437"/>
      <c r="AC49" s="434"/>
      <c r="AD49" s="562"/>
      <c r="AE49" s="568"/>
      <c r="AF49" s="579"/>
      <c r="AG49" s="498"/>
      <c r="AH49" s="437"/>
      <c r="AI49" s="434"/>
      <c r="AJ49" s="437"/>
      <c r="AK49" s="434"/>
      <c r="AL49" s="437"/>
      <c r="AM49" s="434"/>
      <c r="AN49" s="437"/>
      <c r="AO49" s="504"/>
      <c r="AP49" s="610"/>
      <c r="AQ49" s="587"/>
      <c r="AR49" s="555"/>
      <c r="AS49" s="498"/>
      <c r="AT49" s="434"/>
      <c r="AU49" s="435"/>
      <c r="AV49" s="434"/>
      <c r="AW49" s="437"/>
      <c r="AX49" s="434"/>
      <c r="AY49" s="437"/>
      <c r="AZ49" s="434"/>
      <c r="BA49" s="437"/>
      <c r="BB49" s="434"/>
      <c r="BC49" s="437"/>
      <c r="BD49" s="434"/>
      <c r="BE49" s="437"/>
      <c r="BF49" s="434"/>
      <c r="BG49" s="437"/>
      <c r="BH49" s="434"/>
      <c r="BI49" s="437"/>
      <c r="BJ49" s="434"/>
      <c r="BK49" s="437"/>
      <c r="BL49" s="434"/>
      <c r="BM49" s="437"/>
      <c r="BN49" s="434"/>
      <c r="BO49" s="437"/>
      <c r="BP49" s="504"/>
      <c r="BQ49" s="610"/>
      <c r="BR49" s="589"/>
      <c r="BS49" s="590"/>
      <c r="BT49" s="544"/>
      <c r="BU49" s="498"/>
      <c r="BV49" s="434"/>
      <c r="BW49" s="435"/>
      <c r="BX49" s="434"/>
      <c r="BY49" s="437"/>
      <c r="BZ49" s="434"/>
      <c r="CA49" s="437"/>
      <c r="CB49" s="434"/>
      <c r="CC49" s="437"/>
      <c r="CD49" s="434"/>
      <c r="CE49" s="437"/>
      <c r="CF49" s="434"/>
      <c r="CG49" s="437"/>
      <c r="CH49" s="434"/>
      <c r="CI49" s="437"/>
      <c r="CJ49" s="434"/>
      <c r="CK49" s="437"/>
      <c r="CL49" s="434"/>
      <c r="CM49" s="437"/>
      <c r="CN49" s="434"/>
      <c r="CO49" s="437"/>
      <c r="CP49" s="434"/>
      <c r="CQ49" s="437"/>
      <c r="CR49" s="504"/>
      <c r="CS49" s="616"/>
    </row>
    <row r="50" spans="1:97" ht="12" customHeight="1">
      <c r="A50" s="472" t="s">
        <v>275</v>
      </c>
      <c r="B50" s="391"/>
      <c r="C50" s="386"/>
      <c r="D50" s="386"/>
      <c r="E50" s="386"/>
      <c r="F50" s="386"/>
      <c r="G50" s="386"/>
      <c r="H50" s="386"/>
      <c r="I50" s="387"/>
      <c r="J50" s="385"/>
      <c r="K50" s="388"/>
      <c r="L50" s="386"/>
      <c r="M50" s="386"/>
      <c r="N50" s="386"/>
      <c r="O50" s="473">
        <f>SUM(E50:N50)</f>
        <v>0</v>
      </c>
      <c r="P50" s="411"/>
      <c r="Q50" s="522" t="s">
        <v>275</v>
      </c>
      <c r="R50" s="494"/>
      <c r="S50" s="434"/>
      <c r="T50" s="435"/>
      <c r="U50" s="434" t="s">
        <v>216</v>
      </c>
      <c r="V50" s="442"/>
      <c r="W50" s="434"/>
      <c r="X50" s="437"/>
      <c r="Y50" s="434"/>
      <c r="Z50" s="437"/>
      <c r="AA50" s="434"/>
      <c r="AB50" s="437"/>
      <c r="AC50" s="434"/>
      <c r="AD50" s="562"/>
      <c r="AE50" s="568"/>
      <c r="AF50" s="579"/>
      <c r="AG50" s="498"/>
      <c r="AH50" s="437"/>
      <c r="AI50" s="434"/>
      <c r="AJ50" s="437"/>
      <c r="AK50" s="434"/>
      <c r="AL50" s="437"/>
      <c r="AM50" s="434"/>
      <c r="AN50" s="437"/>
      <c r="AO50" s="504"/>
      <c r="AP50" s="610"/>
      <c r="AQ50" s="587"/>
      <c r="AR50" s="555" t="s">
        <v>275</v>
      </c>
      <c r="AS50" s="493"/>
      <c r="AT50" s="434"/>
      <c r="AU50" s="435"/>
      <c r="AV50" s="434" t="s">
        <v>216</v>
      </c>
      <c r="AW50" s="437"/>
      <c r="AX50" s="434"/>
      <c r="AY50" s="437"/>
      <c r="AZ50" s="434"/>
      <c r="BA50" s="437"/>
      <c r="BB50" s="434"/>
      <c r="BC50" s="437"/>
      <c r="BD50" s="434"/>
      <c r="BE50" s="437"/>
      <c r="BF50" s="434"/>
      <c r="BG50" s="437"/>
      <c r="BH50" s="434"/>
      <c r="BI50" s="437"/>
      <c r="BJ50" s="434"/>
      <c r="BK50" s="437"/>
      <c r="BL50" s="434"/>
      <c r="BM50" s="437"/>
      <c r="BN50" s="434"/>
      <c r="BO50" s="437"/>
      <c r="BP50" s="504"/>
      <c r="BQ50" s="610">
        <f t="shared" ref="BQ50:BQ65" si="17">SUM(AT50:BP50)</f>
        <v>0</v>
      </c>
      <c r="BR50" s="589"/>
      <c r="BS50" s="590"/>
      <c r="BT50" s="544" t="s">
        <v>275</v>
      </c>
      <c r="BU50" s="493"/>
      <c r="BV50" s="434"/>
      <c r="BW50" s="435"/>
      <c r="BX50" s="434" t="s">
        <v>216</v>
      </c>
      <c r="BY50" s="437"/>
      <c r="BZ50" s="434"/>
      <c r="CA50" s="437"/>
      <c r="CB50" s="434"/>
      <c r="CC50" s="437"/>
      <c r="CD50" s="434"/>
      <c r="CE50" s="437"/>
      <c r="CF50" s="434"/>
      <c r="CG50" s="437"/>
      <c r="CH50" s="434"/>
      <c r="CI50" s="437"/>
      <c r="CJ50" s="434"/>
      <c r="CK50" s="437"/>
      <c r="CL50" s="434"/>
      <c r="CM50" s="437"/>
      <c r="CN50" s="434"/>
      <c r="CO50" s="437"/>
      <c r="CP50" s="434"/>
      <c r="CQ50" s="437"/>
      <c r="CR50" s="504"/>
      <c r="CS50" s="616">
        <f t="shared" ref="CS50:CS65" si="18">SUM(BV50:CR50)</f>
        <v>0</v>
      </c>
    </row>
    <row r="51" spans="1:97" ht="12" customHeight="1">
      <c r="A51" s="472" t="s">
        <v>276</v>
      </c>
      <c r="B51" s="385">
        <v>1027</v>
      </c>
      <c r="C51" s="386"/>
      <c r="D51" s="386"/>
      <c r="E51" s="386"/>
      <c r="F51" s="386"/>
      <c r="G51" s="386"/>
      <c r="H51" s="386"/>
      <c r="I51" s="387"/>
      <c r="J51" s="385"/>
      <c r="K51" s="388"/>
      <c r="L51" s="386"/>
      <c r="M51" s="386"/>
      <c r="N51" s="386">
        <v>309</v>
      </c>
      <c r="O51" s="473">
        <f>SUM(E51:N51)</f>
        <v>309</v>
      </c>
      <c r="P51" s="481"/>
      <c r="Q51" s="516" t="s">
        <v>276</v>
      </c>
      <c r="R51" s="493"/>
      <c r="S51" s="434"/>
      <c r="T51" s="435"/>
      <c r="U51" s="434"/>
      <c r="V51" s="442"/>
      <c r="W51" s="434"/>
      <c r="X51" s="437"/>
      <c r="Y51" s="434"/>
      <c r="Z51" s="437"/>
      <c r="AA51" s="434"/>
      <c r="AB51" s="437"/>
      <c r="AC51" s="434"/>
      <c r="AD51" s="562"/>
      <c r="AE51" s="568"/>
      <c r="AF51" s="579"/>
      <c r="AG51" s="498"/>
      <c r="AH51" s="437"/>
      <c r="AI51" s="434"/>
      <c r="AJ51" s="437"/>
      <c r="AK51" s="434"/>
      <c r="AL51" s="437"/>
      <c r="AM51" s="434"/>
      <c r="AN51" s="437"/>
      <c r="AO51" s="504"/>
      <c r="AP51" s="610">
        <f t="shared" si="1"/>
        <v>0</v>
      </c>
      <c r="AQ51" s="587"/>
      <c r="AR51" s="550" t="s">
        <v>276</v>
      </c>
      <c r="AS51" s="493"/>
      <c r="AT51" s="434"/>
      <c r="AU51" s="435"/>
      <c r="AV51" s="434"/>
      <c r="AW51" s="437"/>
      <c r="AX51" s="434"/>
      <c r="AY51" s="437"/>
      <c r="AZ51" s="434"/>
      <c r="BA51" s="437"/>
      <c r="BB51" s="434"/>
      <c r="BC51" s="437"/>
      <c r="BD51" s="434"/>
      <c r="BE51" s="437"/>
      <c r="BF51" s="434"/>
      <c r="BG51" s="437"/>
      <c r="BH51" s="434"/>
      <c r="BI51" s="437"/>
      <c r="BJ51" s="434"/>
      <c r="BK51" s="437"/>
      <c r="BL51" s="434"/>
      <c r="BM51" s="437"/>
      <c r="BN51" s="434"/>
      <c r="BO51" s="437"/>
      <c r="BP51" s="504"/>
      <c r="BQ51" s="610">
        <f t="shared" si="17"/>
        <v>0</v>
      </c>
      <c r="BR51" s="589"/>
      <c r="BS51" s="590"/>
      <c r="BT51" s="539" t="s">
        <v>276</v>
      </c>
      <c r="BU51" s="493"/>
      <c r="BV51" s="434"/>
      <c r="BW51" s="435"/>
      <c r="BX51" s="434"/>
      <c r="BY51" s="437"/>
      <c r="BZ51" s="434"/>
      <c r="CA51" s="437"/>
      <c r="CB51" s="434"/>
      <c r="CC51" s="437"/>
      <c r="CD51" s="434"/>
      <c r="CE51" s="437"/>
      <c r="CF51" s="434"/>
      <c r="CG51" s="437"/>
      <c r="CH51" s="434"/>
      <c r="CI51" s="437"/>
      <c r="CJ51" s="434"/>
      <c r="CK51" s="437"/>
      <c r="CL51" s="434"/>
      <c r="CM51" s="437"/>
      <c r="CN51" s="434"/>
      <c r="CO51" s="437"/>
      <c r="CP51" s="434"/>
      <c r="CQ51" s="437"/>
      <c r="CR51" s="504"/>
      <c r="CS51" s="616">
        <f t="shared" si="18"/>
        <v>0</v>
      </c>
    </row>
    <row r="52" spans="1:97" ht="12" customHeight="1">
      <c r="A52" s="472" t="s">
        <v>277</v>
      </c>
      <c r="B52" s="385"/>
      <c r="C52" s="386"/>
      <c r="D52" s="386"/>
      <c r="E52" s="386"/>
      <c r="F52" s="386"/>
      <c r="G52" s="386"/>
      <c r="H52" s="386"/>
      <c r="I52" s="387"/>
      <c r="J52" s="385"/>
      <c r="K52" s="388"/>
      <c r="L52" s="386"/>
      <c r="M52" s="386"/>
      <c r="N52" s="386"/>
      <c r="O52" s="473"/>
      <c r="P52" s="411"/>
      <c r="Q52" s="516" t="s">
        <v>278</v>
      </c>
      <c r="R52" s="494">
        <f>1500+700</f>
        <v>2200</v>
      </c>
      <c r="S52" s="434"/>
      <c r="T52" s="435"/>
      <c r="U52" s="434"/>
      <c r="V52" s="442"/>
      <c r="W52" s="434" t="s">
        <v>216</v>
      </c>
      <c r="X52" s="437"/>
      <c r="Y52" s="434">
        <v>1500</v>
      </c>
      <c r="Z52" s="437"/>
      <c r="AA52" s="434"/>
      <c r="AB52" s="437"/>
      <c r="AC52" s="434"/>
      <c r="AD52" s="562"/>
      <c r="AE52" s="568"/>
      <c r="AF52" s="579"/>
      <c r="AG52" s="498">
        <v>700</v>
      </c>
      <c r="AH52" s="437"/>
      <c r="AI52" s="434"/>
      <c r="AJ52" s="437"/>
      <c r="AK52" s="434"/>
      <c r="AL52" s="437"/>
      <c r="AM52" s="434"/>
      <c r="AN52" s="437"/>
      <c r="AO52" s="504"/>
      <c r="AP52" s="610">
        <v>700</v>
      </c>
      <c r="AQ52" s="587"/>
      <c r="AR52" s="550" t="s">
        <v>278</v>
      </c>
      <c r="AS52" s="537">
        <f>1530+714</f>
        <v>2244</v>
      </c>
      <c r="AT52" s="439"/>
      <c r="AU52" s="435"/>
      <c r="AV52" s="434"/>
      <c r="AW52" s="437"/>
      <c r="AX52" s="434"/>
      <c r="AY52" s="437"/>
      <c r="AZ52" s="434">
        <v>1500</v>
      </c>
      <c r="BA52" s="437"/>
      <c r="BB52" s="434"/>
      <c r="BC52" s="437"/>
      <c r="BD52" s="434"/>
      <c r="BE52" s="437"/>
      <c r="BF52" s="434"/>
      <c r="BG52" s="437"/>
      <c r="BH52" s="434">
        <v>700</v>
      </c>
      <c r="BI52" s="437"/>
      <c r="BJ52" s="434"/>
      <c r="BK52" s="437"/>
      <c r="BL52" s="434"/>
      <c r="BM52" s="437"/>
      <c r="BN52" s="434"/>
      <c r="BO52" s="437"/>
      <c r="BP52" s="504"/>
      <c r="BQ52" s="610">
        <f t="shared" si="17"/>
        <v>2200</v>
      </c>
      <c r="BR52" s="589"/>
      <c r="BS52" s="590"/>
      <c r="BT52" s="539" t="s">
        <v>278</v>
      </c>
      <c r="BU52" s="494">
        <f>1530+715</f>
        <v>2245</v>
      </c>
      <c r="BV52" s="439"/>
      <c r="BW52" s="435"/>
      <c r="BX52" s="434"/>
      <c r="BY52" s="437"/>
      <c r="BZ52" s="434"/>
      <c r="CA52" s="437"/>
      <c r="CB52" s="434">
        <v>1500</v>
      </c>
      <c r="CC52" s="437"/>
      <c r="CD52" s="434"/>
      <c r="CE52" s="437"/>
      <c r="CF52" s="434"/>
      <c r="CG52" s="437"/>
      <c r="CH52" s="434"/>
      <c r="CI52" s="437"/>
      <c r="CJ52" s="434">
        <v>745</v>
      </c>
      <c r="CK52" s="437"/>
      <c r="CL52" s="434"/>
      <c r="CM52" s="437"/>
      <c r="CN52" s="434"/>
      <c r="CO52" s="437"/>
      <c r="CP52" s="434"/>
      <c r="CQ52" s="437"/>
      <c r="CR52" s="504"/>
      <c r="CS52" s="616">
        <f t="shared" si="18"/>
        <v>2245</v>
      </c>
    </row>
    <row r="53" spans="1:97" ht="12" customHeight="1">
      <c r="A53" s="472" t="s">
        <v>104</v>
      </c>
      <c r="B53" s="385">
        <v>540</v>
      </c>
      <c r="C53" s="386"/>
      <c r="D53" s="386"/>
      <c r="E53" s="386"/>
      <c r="F53" s="386"/>
      <c r="G53" s="386"/>
      <c r="H53" s="386"/>
      <c r="I53" s="387"/>
      <c r="J53" s="385"/>
      <c r="K53" s="388">
        <v>70.86</v>
      </c>
      <c r="L53" s="386"/>
      <c r="M53" s="386">
        <v>450</v>
      </c>
      <c r="N53" s="386"/>
      <c r="O53" s="473">
        <f>SUM(E53:N53)</f>
        <v>520.86</v>
      </c>
      <c r="P53" s="411"/>
      <c r="Q53" s="516" t="s">
        <v>104</v>
      </c>
      <c r="R53" s="494">
        <v>825</v>
      </c>
      <c r="S53" s="434"/>
      <c r="T53" s="435"/>
      <c r="U53" s="434">
        <v>75</v>
      </c>
      <c r="V53" s="442"/>
      <c r="W53" s="434"/>
      <c r="X53" s="437"/>
      <c r="Y53" s="434">
        <v>150</v>
      </c>
      <c r="Z53" s="437"/>
      <c r="AA53" s="434"/>
      <c r="AB53" s="437"/>
      <c r="AC53" s="434">
        <v>150</v>
      </c>
      <c r="AD53" s="562"/>
      <c r="AE53" s="568"/>
      <c r="AF53" s="579"/>
      <c r="AG53" s="498">
        <v>150</v>
      </c>
      <c r="AH53" s="437"/>
      <c r="AI53" s="434"/>
      <c r="AJ53" s="437"/>
      <c r="AK53" s="434">
        <v>150</v>
      </c>
      <c r="AL53" s="437"/>
      <c r="AM53" s="434"/>
      <c r="AN53" s="437"/>
      <c r="AO53" s="504">
        <v>150</v>
      </c>
      <c r="AP53" s="610">
        <f t="shared" si="1"/>
        <v>825</v>
      </c>
      <c r="AQ53" s="587"/>
      <c r="AR53" s="550" t="s">
        <v>104</v>
      </c>
      <c r="AS53" s="493">
        <v>825</v>
      </c>
      <c r="AT53" s="434"/>
      <c r="AU53" s="435"/>
      <c r="AV53" s="434">
        <v>75</v>
      </c>
      <c r="AW53" s="437"/>
      <c r="AX53" s="434"/>
      <c r="AY53" s="437"/>
      <c r="AZ53" s="434">
        <v>150</v>
      </c>
      <c r="BA53" s="437"/>
      <c r="BB53" s="434"/>
      <c r="BC53" s="437"/>
      <c r="BD53" s="434">
        <v>150</v>
      </c>
      <c r="BE53" s="437"/>
      <c r="BF53" s="434"/>
      <c r="BG53" s="437"/>
      <c r="BH53" s="434">
        <v>150</v>
      </c>
      <c r="BI53" s="437"/>
      <c r="BJ53" s="434"/>
      <c r="BK53" s="437"/>
      <c r="BL53" s="434">
        <v>150</v>
      </c>
      <c r="BM53" s="437"/>
      <c r="BN53" s="434"/>
      <c r="BO53" s="437"/>
      <c r="BP53" s="504">
        <v>150</v>
      </c>
      <c r="BQ53" s="610">
        <f t="shared" si="17"/>
        <v>825</v>
      </c>
      <c r="BR53" s="589"/>
      <c r="BS53" s="590"/>
      <c r="BT53" s="539" t="s">
        <v>104</v>
      </c>
      <c r="BU53" s="493">
        <v>825</v>
      </c>
      <c r="BV53" s="434"/>
      <c r="BW53" s="435"/>
      <c r="BX53" s="434">
        <v>75</v>
      </c>
      <c r="BY53" s="437"/>
      <c r="BZ53" s="434"/>
      <c r="CA53" s="437"/>
      <c r="CB53" s="434">
        <v>150</v>
      </c>
      <c r="CC53" s="437"/>
      <c r="CD53" s="434"/>
      <c r="CE53" s="437"/>
      <c r="CF53" s="434">
        <v>150</v>
      </c>
      <c r="CG53" s="437"/>
      <c r="CH53" s="434"/>
      <c r="CI53" s="437"/>
      <c r="CJ53" s="434">
        <v>150</v>
      </c>
      <c r="CK53" s="437"/>
      <c r="CL53" s="434"/>
      <c r="CM53" s="437"/>
      <c r="CN53" s="434">
        <v>150</v>
      </c>
      <c r="CO53" s="437"/>
      <c r="CP53" s="434"/>
      <c r="CQ53" s="437"/>
      <c r="CR53" s="504">
        <v>150</v>
      </c>
      <c r="CS53" s="616">
        <f t="shared" si="18"/>
        <v>825</v>
      </c>
    </row>
    <row r="54" spans="1:97" ht="12" customHeight="1">
      <c r="A54" s="480" t="s">
        <v>279</v>
      </c>
      <c r="B54" s="403"/>
      <c r="C54" s="390"/>
      <c r="D54" s="390"/>
      <c r="E54" s="390"/>
      <c r="F54" s="390"/>
      <c r="G54" s="390"/>
      <c r="H54" s="390"/>
      <c r="I54" s="404">
        <v>1070</v>
      </c>
      <c r="J54" s="403">
        <v>150</v>
      </c>
      <c r="K54" s="388"/>
      <c r="L54" s="386"/>
      <c r="M54" s="386"/>
      <c r="N54" s="386"/>
      <c r="O54" s="473">
        <f>SUM(E54:N54)</f>
        <v>1220</v>
      </c>
      <c r="P54" s="411"/>
      <c r="Q54" s="516" t="s">
        <v>158</v>
      </c>
      <c r="R54" s="494">
        <v>700</v>
      </c>
      <c r="S54" s="434">
        <v>59</v>
      </c>
      <c r="T54" s="435">
        <v>12.6</v>
      </c>
      <c r="U54" s="434">
        <v>59</v>
      </c>
      <c r="V54" s="442"/>
      <c r="W54" s="434">
        <v>59</v>
      </c>
      <c r="X54" s="437"/>
      <c r="Y54" s="434">
        <v>59</v>
      </c>
      <c r="Z54" s="437"/>
      <c r="AA54" s="434">
        <v>59</v>
      </c>
      <c r="AB54" s="437"/>
      <c r="AC54" s="434">
        <v>59</v>
      </c>
      <c r="AD54" s="562"/>
      <c r="AE54" s="568">
        <v>59</v>
      </c>
      <c r="AF54" s="579"/>
      <c r="AG54" s="498">
        <v>59</v>
      </c>
      <c r="AH54" s="437"/>
      <c r="AI54" s="434">
        <v>59</v>
      </c>
      <c r="AJ54" s="437"/>
      <c r="AK54" s="434">
        <v>59</v>
      </c>
      <c r="AL54" s="437"/>
      <c r="AM54" s="434">
        <v>59</v>
      </c>
      <c r="AN54" s="437"/>
      <c r="AO54" s="504">
        <v>59</v>
      </c>
      <c r="AP54" s="610">
        <f t="shared" si="1"/>
        <v>708</v>
      </c>
      <c r="AQ54" s="587"/>
      <c r="AR54" s="550" t="s">
        <v>158</v>
      </c>
      <c r="AS54" s="537">
        <v>719</v>
      </c>
      <c r="AT54" s="434">
        <v>59</v>
      </c>
      <c r="AU54" s="435"/>
      <c r="AV54" s="434">
        <v>59</v>
      </c>
      <c r="AW54" s="437"/>
      <c r="AX54" s="434">
        <v>59</v>
      </c>
      <c r="AY54" s="437"/>
      <c r="AZ54" s="434">
        <v>59</v>
      </c>
      <c r="BA54" s="437"/>
      <c r="BB54" s="434">
        <v>59</v>
      </c>
      <c r="BC54" s="437"/>
      <c r="BD54" s="434">
        <v>59</v>
      </c>
      <c r="BE54" s="437"/>
      <c r="BF54" s="434">
        <v>59</v>
      </c>
      <c r="BG54" s="437"/>
      <c r="BH54" s="434">
        <v>59</v>
      </c>
      <c r="BI54" s="437"/>
      <c r="BJ54" s="434">
        <v>59</v>
      </c>
      <c r="BK54" s="437"/>
      <c r="BL54" s="434">
        <v>59</v>
      </c>
      <c r="BM54" s="437"/>
      <c r="BN54" s="434">
        <v>59</v>
      </c>
      <c r="BO54" s="437"/>
      <c r="BP54" s="504">
        <v>59</v>
      </c>
      <c r="BQ54" s="610">
        <f t="shared" si="17"/>
        <v>708</v>
      </c>
      <c r="BR54" s="589"/>
      <c r="BS54" s="590"/>
      <c r="BT54" s="539" t="s">
        <v>158</v>
      </c>
      <c r="BU54" s="494">
        <v>714</v>
      </c>
      <c r="BV54" s="434">
        <v>59</v>
      </c>
      <c r="BW54" s="435"/>
      <c r="BX54" s="434">
        <v>59</v>
      </c>
      <c r="BY54" s="437"/>
      <c r="BZ54" s="434">
        <v>59</v>
      </c>
      <c r="CA54" s="437"/>
      <c r="CB54" s="434">
        <v>59</v>
      </c>
      <c r="CC54" s="437"/>
      <c r="CD54" s="434">
        <v>59</v>
      </c>
      <c r="CE54" s="437"/>
      <c r="CF54" s="434">
        <v>59</v>
      </c>
      <c r="CG54" s="437"/>
      <c r="CH54" s="434">
        <v>59</v>
      </c>
      <c r="CI54" s="437"/>
      <c r="CJ54" s="434">
        <v>59</v>
      </c>
      <c r="CK54" s="437"/>
      <c r="CL54" s="434">
        <v>59</v>
      </c>
      <c r="CM54" s="437"/>
      <c r="CN54" s="434">
        <v>59</v>
      </c>
      <c r="CO54" s="437"/>
      <c r="CP54" s="434">
        <v>59</v>
      </c>
      <c r="CQ54" s="437"/>
      <c r="CR54" s="504">
        <v>59</v>
      </c>
      <c r="CS54" s="616">
        <f t="shared" si="18"/>
        <v>708</v>
      </c>
    </row>
    <row r="55" spans="1:97" ht="12" customHeight="1">
      <c r="A55" s="480"/>
      <c r="B55" s="403"/>
      <c r="C55" s="390"/>
      <c r="D55" s="390"/>
      <c r="E55" s="390"/>
      <c r="F55" s="390"/>
      <c r="G55" s="390"/>
      <c r="H55" s="390"/>
      <c r="I55" s="404"/>
      <c r="J55" s="403"/>
      <c r="K55" s="388"/>
      <c r="L55" s="386"/>
      <c r="M55" s="386"/>
      <c r="N55" s="386"/>
      <c r="O55" s="473"/>
      <c r="P55" s="411"/>
      <c r="Q55" s="516" t="s">
        <v>280</v>
      </c>
      <c r="R55" s="494">
        <v>180</v>
      </c>
      <c r="S55" s="434"/>
      <c r="T55" s="435"/>
      <c r="U55" s="434"/>
      <c r="V55" s="442"/>
      <c r="W55" s="434">
        <v>45</v>
      </c>
      <c r="X55" s="437"/>
      <c r="Y55" s="434"/>
      <c r="Z55" s="437"/>
      <c r="AA55" s="434"/>
      <c r="AB55" s="437"/>
      <c r="AC55" s="434"/>
      <c r="AD55" s="562"/>
      <c r="AE55" s="568">
        <v>45</v>
      </c>
      <c r="AF55" s="579"/>
      <c r="AG55" s="498"/>
      <c r="AH55" s="437"/>
      <c r="AI55" s="434"/>
      <c r="AJ55" s="437"/>
      <c r="AK55" s="434">
        <v>45</v>
      </c>
      <c r="AL55" s="437"/>
      <c r="AM55" s="434"/>
      <c r="AN55" s="437"/>
      <c r="AO55" s="504"/>
      <c r="AP55" s="610">
        <f t="shared" si="1"/>
        <v>135</v>
      </c>
      <c r="AQ55" s="587"/>
      <c r="AR55" s="550" t="s">
        <v>280</v>
      </c>
      <c r="AS55" s="537">
        <v>184</v>
      </c>
      <c r="AT55" s="434"/>
      <c r="AU55" s="435"/>
      <c r="AV55" s="434"/>
      <c r="AW55" s="437"/>
      <c r="AX55" s="434">
        <v>60</v>
      </c>
      <c r="AY55" s="437"/>
      <c r="AZ55" s="434"/>
      <c r="BA55" s="437"/>
      <c r="BB55" s="434"/>
      <c r="BC55" s="437"/>
      <c r="BD55" s="434"/>
      <c r="BE55" s="437"/>
      <c r="BF55" s="434">
        <v>60</v>
      </c>
      <c r="BG55" s="437"/>
      <c r="BH55" s="434"/>
      <c r="BI55" s="437"/>
      <c r="BJ55" s="434"/>
      <c r="BK55" s="437"/>
      <c r="BL55" s="434">
        <v>60</v>
      </c>
      <c r="BM55" s="437"/>
      <c r="BN55" s="434"/>
      <c r="BO55" s="437"/>
      <c r="BP55" s="504"/>
      <c r="BQ55" s="610">
        <f t="shared" si="17"/>
        <v>180</v>
      </c>
      <c r="BR55" s="589"/>
      <c r="BS55" s="590"/>
      <c r="BT55" s="539" t="s">
        <v>280</v>
      </c>
      <c r="BU55" s="494">
        <v>180</v>
      </c>
      <c r="BV55" s="434"/>
      <c r="BW55" s="435"/>
      <c r="BX55" s="434"/>
      <c r="BY55" s="437"/>
      <c r="BZ55" s="434">
        <v>60</v>
      </c>
      <c r="CA55" s="437"/>
      <c r="CB55" s="434"/>
      <c r="CC55" s="437"/>
      <c r="CD55" s="434"/>
      <c r="CE55" s="437"/>
      <c r="CF55" s="434"/>
      <c r="CG55" s="437"/>
      <c r="CH55" s="434">
        <v>60</v>
      </c>
      <c r="CI55" s="437"/>
      <c r="CJ55" s="434"/>
      <c r="CK55" s="437"/>
      <c r="CL55" s="434"/>
      <c r="CM55" s="437"/>
      <c r="CN55" s="434">
        <v>60</v>
      </c>
      <c r="CO55" s="437"/>
      <c r="CP55" s="434"/>
      <c r="CQ55" s="437"/>
      <c r="CR55" s="504"/>
      <c r="CS55" s="616">
        <f t="shared" si="18"/>
        <v>180</v>
      </c>
    </row>
    <row r="56" spans="1:97" ht="12" customHeight="1">
      <c r="A56" s="480"/>
      <c r="B56" s="403"/>
      <c r="C56" s="390"/>
      <c r="D56" s="390"/>
      <c r="E56" s="390"/>
      <c r="F56" s="390"/>
      <c r="G56" s="390"/>
      <c r="H56" s="390"/>
      <c r="I56" s="404"/>
      <c r="J56" s="403"/>
      <c r="K56" s="388"/>
      <c r="L56" s="386"/>
      <c r="M56" s="386"/>
      <c r="N56" s="386"/>
      <c r="O56" s="473"/>
      <c r="P56" s="411"/>
      <c r="Q56" s="516" t="s">
        <v>281</v>
      </c>
      <c r="R56" s="494">
        <v>8400</v>
      </c>
      <c r="S56" s="434">
        <v>700</v>
      </c>
      <c r="T56" s="435">
        <v>4002</v>
      </c>
      <c r="U56" s="434">
        <v>700</v>
      </c>
      <c r="V56" s="442"/>
      <c r="W56" s="434">
        <v>700</v>
      </c>
      <c r="X56" s="437"/>
      <c r="Y56" s="434">
        <v>700</v>
      </c>
      <c r="Z56" s="437"/>
      <c r="AA56" s="434">
        <v>700</v>
      </c>
      <c r="AB56" s="437"/>
      <c r="AC56" s="434">
        <v>700</v>
      </c>
      <c r="AD56" s="562"/>
      <c r="AE56" s="568">
        <v>700</v>
      </c>
      <c r="AF56" s="579"/>
      <c r="AG56" s="498">
        <v>700</v>
      </c>
      <c r="AH56" s="437"/>
      <c r="AI56" s="434">
        <v>700</v>
      </c>
      <c r="AJ56" s="437"/>
      <c r="AK56" s="434">
        <v>700</v>
      </c>
      <c r="AL56" s="437"/>
      <c r="AM56" s="434">
        <v>700</v>
      </c>
      <c r="AN56" s="437"/>
      <c r="AO56" s="504">
        <v>700</v>
      </c>
      <c r="AP56" s="610">
        <f t="shared" si="1"/>
        <v>8400</v>
      </c>
      <c r="AQ56" s="587"/>
      <c r="AR56" s="550" t="s">
        <v>281</v>
      </c>
      <c r="AS56" s="493">
        <v>12700</v>
      </c>
      <c r="AT56" s="434">
        <v>1060</v>
      </c>
      <c r="AU56" s="435"/>
      <c r="AV56" s="434">
        <v>1060</v>
      </c>
      <c r="AW56" s="435"/>
      <c r="AX56" s="434">
        <v>1060</v>
      </c>
      <c r="AY56" s="435"/>
      <c r="AZ56" s="434">
        <v>1060</v>
      </c>
      <c r="BA56" s="435"/>
      <c r="BB56" s="434">
        <v>1060</v>
      </c>
      <c r="BC56" s="435"/>
      <c r="BD56" s="434">
        <v>1060</v>
      </c>
      <c r="BE56" s="435"/>
      <c r="BF56" s="434">
        <v>1060</v>
      </c>
      <c r="BG56" s="435"/>
      <c r="BH56" s="434">
        <v>1060</v>
      </c>
      <c r="BI56" s="435"/>
      <c r="BJ56" s="434">
        <v>1060</v>
      </c>
      <c r="BK56" s="435"/>
      <c r="BL56" s="434">
        <v>1060</v>
      </c>
      <c r="BM56" s="435"/>
      <c r="BN56" s="434">
        <v>1060</v>
      </c>
      <c r="BO56" s="435"/>
      <c r="BP56" s="504">
        <v>1060</v>
      </c>
      <c r="BQ56" s="610">
        <f>SUM(AT56:BP56)</f>
        <v>12720</v>
      </c>
      <c r="BR56" s="589"/>
      <c r="BS56" s="590"/>
      <c r="BT56" s="539" t="s">
        <v>281</v>
      </c>
      <c r="BU56" s="493">
        <v>12700</v>
      </c>
      <c r="BV56" s="434">
        <v>1060</v>
      </c>
      <c r="BW56" s="435"/>
      <c r="BX56" s="434">
        <v>1060</v>
      </c>
      <c r="BY56" s="435"/>
      <c r="BZ56" s="434">
        <v>1060</v>
      </c>
      <c r="CA56" s="435"/>
      <c r="CB56" s="434">
        <v>1060</v>
      </c>
      <c r="CC56" s="435"/>
      <c r="CD56" s="434">
        <v>1060</v>
      </c>
      <c r="CE56" s="435"/>
      <c r="CF56" s="434">
        <v>1060</v>
      </c>
      <c r="CG56" s="435"/>
      <c r="CH56" s="434">
        <v>1060</v>
      </c>
      <c r="CI56" s="435"/>
      <c r="CJ56" s="434">
        <v>1060</v>
      </c>
      <c r="CK56" s="435"/>
      <c r="CL56" s="434">
        <v>1060</v>
      </c>
      <c r="CM56" s="435"/>
      <c r="CN56" s="434">
        <v>1060</v>
      </c>
      <c r="CO56" s="435"/>
      <c r="CP56" s="434">
        <v>1060</v>
      </c>
      <c r="CQ56" s="435"/>
      <c r="CR56" s="504">
        <v>1060</v>
      </c>
      <c r="CS56" s="616">
        <f t="shared" si="18"/>
        <v>12720</v>
      </c>
    </row>
    <row r="57" spans="1:97" ht="12" customHeight="1">
      <c r="A57" s="480"/>
      <c r="B57" s="403"/>
      <c r="C57" s="390"/>
      <c r="D57" s="390"/>
      <c r="E57" s="390"/>
      <c r="F57" s="390"/>
      <c r="G57" s="390"/>
      <c r="H57" s="390"/>
      <c r="I57" s="404"/>
      <c r="J57" s="403"/>
      <c r="K57" s="388"/>
      <c r="L57" s="386"/>
      <c r="M57" s="386"/>
      <c r="N57" s="386"/>
      <c r="O57" s="473"/>
      <c r="P57" s="411"/>
      <c r="Q57" s="516" t="s">
        <v>282</v>
      </c>
      <c r="R57" s="494">
        <v>5600</v>
      </c>
      <c r="S57" s="434"/>
      <c r="T57" s="435"/>
      <c r="U57" s="434"/>
      <c r="V57" s="442"/>
      <c r="W57" s="434">
        <v>1400</v>
      </c>
      <c r="X57" s="437"/>
      <c r="Y57" s="434"/>
      <c r="Z57" s="437"/>
      <c r="AA57" s="434"/>
      <c r="AB57" s="437"/>
      <c r="AC57" s="434"/>
      <c r="AD57" s="562"/>
      <c r="AE57" s="568">
        <v>1400</v>
      </c>
      <c r="AF57" s="579"/>
      <c r="AG57" s="498"/>
      <c r="AH57" s="437"/>
      <c r="AI57" s="434"/>
      <c r="AJ57" s="437"/>
      <c r="AK57" s="434">
        <v>1400</v>
      </c>
      <c r="AL57" s="437"/>
      <c r="AM57" s="434"/>
      <c r="AN57" s="437"/>
      <c r="AO57" s="504"/>
      <c r="AP57" s="610">
        <f t="shared" si="1"/>
        <v>4200</v>
      </c>
      <c r="AQ57" s="587"/>
      <c r="AR57" s="550" t="s">
        <v>282</v>
      </c>
      <c r="AS57" s="493">
        <v>9200</v>
      </c>
      <c r="AT57" s="434">
        <f>767*3</f>
        <v>2301</v>
      </c>
      <c r="AU57" s="435"/>
      <c r="AV57" s="434"/>
      <c r="AW57" s="437"/>
      <c r="AX57" s="434"/>
      <c r="AY57" s="437"/>
      <c r="AZ57" s="434">
        <v>2301</v>
      </c>
      <c r="BA57" s="437"/>
      <c r="BB57" s="434"/>
      <c r="BC57" s="437"/>
      <c r="BD57" s="434"/>
      <c r="BE57" s="437"/>
      <c r="BF57" s="434">
        <v>2301</v>
      </c>
      <c r="BG57" s="437"/>
      <c r="BH57" s="434"/>
      <c r="BI57" s="437"/>
      <c r="BJ57" s="434"/>
      <c r="BK57" s="437"/>
      <c r="BL57" s="434">
        <v>2301</v>
      </c>
      <c r="BM57" s="437"/>
      <c r="BN57" s="434"/>
      <c r="BO57" s="437"/>
      <c r="BP57" s="504"/>
      <c r="BQ57" s="610">
        <f t="shared" si="17"/>
        <v>9204</v>
      </c>
      <c r="BR57" s="589"/>
      <c r="BS57" s="590"/>
      <c r="BT57" s="539" t="s">
        <v>282</v>
      </c>
      <c r="BU57" s="493">
        <v>9200</v>
      </c>
      <c r="BV57" s="434">
        <f>767*3</f>
        <v>2301</v>
      </c>
      <c r="BW57" s="435"/>
      <c r="BX57" s="434"/>
      <c r="BY57" s="437"/>
      <c r="BZ57" s="434"/>
      <c r="CA57" s="437"/>
      <c r="CB57" s="434">
        <v>2301</v>
      </c>
      <c r="CC57" s="437"/>
      <c r="CD57" s="434"/>
      <c r="CE57" s="437"/>
      <c r="CF57" s="434"/>
      <c r="CG57" s="437"/>
      <c r="CH57" s="434">
        <v>2301</v>
      </c>
      <c r="CI57" s="437"/>
      <c r="CJ57" s="434"/>
      <c r="CK57" s="437"/>
      <c r="CL57" s="434"/>
      <c r="CM57" s="437"/>
      <c r="CN57" s="434">
        <v>2301</v>
      </c>
      <c r="CO57" s="437"/>
      <c r="CP57" s="434"/>
      <c r="CQ57" s="437"/>
      <c r="CR57" s="504"/>
      <c r="CS57" s="616">
        <f t="shared" si="18"/>
        <v>9204</v>
      </c>
    </row>
    <row r="58" spans="1:97" ht="12" customHeight="1">
      <c r="A58" s="472" t="s">
        <v>283</v>
      </c>
      <c r="B58" s="385">
        <v>23300</v>
      </c>
      <c r="C58" s="386"/>
      <c r="D58" s="386"/>
      <c r="E58" s="386"/>
      <c r="F58" s="386"/>
      <c r="G58" s="386"/>
      <c r="H58" s="386"/>
      <c r="I58" s="387"/>
      <c r="J58" s="385">
        <v>2903</v>
      </c>
      <c r="K58" s="385">
        <v>2206.8200000000002</v>
      </c>
      <c r="L58" s="389">
        <v>2303.73</v>
      </c>
      <c r="M58" s="386">
        <v>2500</v>
      </c>
      <c r="N58" s="386">
        <v>2500</v>
      </c>
      <c r="O58" s="473">
        <f>SUM(E58:N58)</f>
        <v>12413.55</v>
      </c>
      <c r="P58" s="481"/>
      <c r="Q58" s="516" t="s">
        <v>284</v>
      </c>
      <c r="R58" s="494">
        <f>53995+3184</f>
        <v>57179</v>
      </c>
      <c r="S58" s="434">
        <v>3200</v>
      </c>
      <c r="T58" s="435">
        <f>102.6+386.27</f>
        <v>488.87</v>
      </c>
      <c r="U58" s="434">
        <v>3200</v>
      </c>
      <c r="V58" s="442"/>
      <c r="W58" s="434">
        <v>3960</v>
      </c>
      <c r="X58" s="437"/>
      <c r="Y58" s="434">
        <v>3960</v>
      </c>
      <c r="Z58" s="437"/>
      <c r="AA58" s="434">
        <v>3960</v>
      </c>
      <c r="AB58" s="437"/>
      <c r="AC58" s="434">
        <v>4753</v>
      </c>
      <c r="AD58" s="562"/>
      <c r="AE58" s="568">
        <v>4753</v>
      </c>
      <c r="AF58" s="579"/>
      <c r="AG58" s="498">
        <v>4753</v>
      </c>
      <c r="AH58" s="437"/>
      <c r="AI58" s="434">
        <f>4753+793</f>
        <v>5546</v>
      </c>
      <c r="AJ58" s="437"/>
      <c r="AK58" s="434">
        <f>4753+793</f>
        <v>5546</v>
      </c>
      <c r="AL58" s="437"/>
      <c r="AM58" s="434">
        <f>4753+793</f>
        <v>5546</v>
      </c>
      <c r="AN58" s="437"/>
      <c r="AO58" s="504">
        <f>4753+793</f>
        <v>5546</v>
      </c>
      <c r="AP58" s="610">
        <f t="shared" si="1"/>
        <v>54723</v>
      </c>
      <c r="AQ58" s="587"/>
      <c r="AR58" s="550" t="s">
        <v>284</v>
      </c>
      <c r="AS58" s="537">
        <v>58680</v>
      </c>
      <c r="AT58" s="434">
        <f>58680/12</f>
        <v>4890</v>
      </c>
      <c r="AU58" s="440">
        <f t="shared" ref="AU58:BP58" si="19">58680/12</f>
        <v>4890</v>
      </c>
      <c r="AV58" s="434">
        <f t="shared" si="19"/>
        <v>4890</v>
      </c>
      <c r="AW58" s="440">
        <f t="shared" si="19"/>
        <v>4890</v>
      </c>
      <c r="AX58" s="434">
        <f t="shared" si="19"/>
        <v>4890</v>
      </c>
      <c r="AY58" s="440">
        <f t="shared" si="19"/>
        <v>4890</v>
      </c>
      <c r="AZ58" s="434">
        <f t="shared" si="19"/>
        <v>4890</v>
      </c>
      <c r="BA58" s="440">
        <f t="shared" si="19"/>
        <v>4890</v>
      </c>
      <c r="BB58" s="434">
        <f t="shared" si="19"/>
        <v>4890</v>
      </c>
      <c r="BC58" s="440">
        <f t="shared" si="19"/>
        <v>4890</v>
      </c>
      <c r="BD58" s="434">
        <f t="shared" si="19"/>
        <v>4890</v>
      </c>
      <c r="BE58" s="440">
        <f t="shared" si="19"/>
        <v>4890</v>
      </c>
      <c r="BF58" s="434">
        <f t="shared" si="19"/>
        <v>4890</v>
      </c>
      <c r="BG58" s="440">
        <f t="shared" si="19"/>
        <v>4890</v>
      </c>
      <c r="BH58" s="434">
        <f t="shared" si="19"/>
        <v>4890</v>
      </c>
      <c r="BI58" s="440">
        <f t="shared" si="19"/>
        <v>4890</v>
      </c>
      <c r="BJ58" s="434">
        <f t="shared" si="19"/>
        <v>4890</v>
      </c>
      <c r="BK58" s="440">
        <f t="shared" si="19"/>
        <v>4890</v>
      </c>
      <c r="BL58" s="434">
        <f t="shared" si="19"/>
        <v>4890</v>
      </c>
      <c r="BM58" s="440">
        <f t="shared" si="19"/>
        <v>4890</v>
      </c>
      <c r="BN58" s="434">
        <f t="shared" si="19"/>
        <v>4890</v>
      </c>
      <c r="BO58" s="437">
        <f t="shared" si="19"/>
        <v>4890</v>
      </c>
      <c r="BP58" s="504">
        <f t="shared" si="19"/>
        <v>4890</v>
      </c>
      <c r="BQ58" s="610">
        <f t="shared" si="17"/>
        <v>112470</v>
      </c>
      <c r="BR58" s="589"/>
      <c r="BS58" s="590"/>
      <c r="BT58" s="539" t="s">
        <v>284</v>
      </c>
      <c r="BU58" s="493">
        <v>57000</v>
      </c>
      <c r="BV58" s="434">
        <f>57000/12</f>
        <v>4750</v>
      </c>
      <c r="BW58" s="435"/>
      <c r="BX58" s="434">
        <v>4750</v>
      </c>
      <c r="BY58" s="437"/>
      <c r="BZ58" s="434">
        <v>4750</v>
      </c>
      <c r="CA58" s="437"/>
      <c r="CB58" s="434">
        <v>4750</v>
      </c>
      <c r="CC58" s="437"/>
      <c r="CD58" s="434">
        <v>4750</v>
      </c>
      <c r="CE58" s="437"/>
      <c r="CF58" s="434">
        <v>4750</v>
      </c>
      <c r="CG58" s="437"/>
      <c r="CH58" s="434">
        <v>4750</v>
      </c>
      <c r="CI58" s="437"/>
      <c r="CJ58" s="434">
        <v>4750</v>
      </c>
      <c r="CK58" s="437"/>
      <c r="CL58" s="434">
        <v>4750</v>
      </c>
      <c r="CM58" s="437"/>
      <c r="CN58" s="434">
        <v>4750</v>
      </c>
      <c r="CO58" s="437"/>
      <c r="CP58" s="434">
        <v>4750</v>
      </c>
      <c r="CQ58" s="437"/>
      <c r="CR58" s="504">
        <v>4750</v>
      </c>
      <c r="CS58" s="616">
        <f t="shared" si="18"/>
        <v>57000</v>
      </c>
    </row>
    <row r="59" spans="1:97" ht="12" customHeight="1">
      <c r="A59" s="472" t="s">
        <v>285</v>
      </c>
      <c r="B59" s="385"/>
      <c r="C59" s="386"/>
      <c r="D59" s="386"/>
      <c r="E59" s="386"/>
      <c r="F59" s="386"/>
      <c r="G59" s="386"/>
      <c r="H59" s="386"/>
      <c r="I59" s="387"/>
      <c r="J59" s="385"/>
      <c r="K59" s="385"/>
      <c r="L59" s="389">
        <v>5049</v>
      </c>
      <c r="M59" s="386"/>
      <c r="N59" s="386"/>
      <c r="O59" s="473">
        <f>SUM(I59:N59)</f>
        <v>5049</v>
      </c>
      <c r="P59" s="411"/>
      <c r="Q59" s="516" t="s">
        <v>286</v>
      </c>
      <c r="R59" s="494">
        <f>21823+1516</f>
        <v>23339</v>
      </c>
      <c r="S59" s="434">
        <v>4500</v>
      </c>
      <c r="T59" s="435"/>
      <c r="U59" s="434"/>
      <c r="V59" s="442"/>
      <c r="W59" s="434"/>
      <c r="X59" s="437"/>
      <c r="Y59" s="434">
        <f>1871*2+1500</f>
        <v>5242</v>
      </c>
      <c r="Z59" s="437"/>
      <c r="AA59" s="434"/>
      <c r="AB59" s="437"/>
      <c r="AC59" s="434"/>
      <c r="AD59" s="562"/>
      <c r="AE59" s="568">
        <f>2245*2+1800</f>
        <v>6290</v>
      </c>
      <c r="AF59" s="579"/>
      <c r="AG59" s="498"/>
      <c r="AH59" s="437"/>
      <c r="AI59" s="434"/>
      <c r="AJ59" s="437"/>
      <c r="AK59" s="434">
        <f>2619*2+2245</f>
        <v>7483</v>
      </c>
      <c r="AL59" s="437"/>
      <c r="AM59" s="434"/>
      <c r="AN59" s="437"/>
      <c r="AO59" s="504"/>
      <c r="AP59" s="610">
        <f t="shared" si="1"/>
        <v>23515</v>
      </c>
      <c r="AQ59" s="587"/>
      <c r="AR59" s="550" t="s">
        <v>286</v>
      </c>
      <c r="AS59" s="537">
        <v>27000</v>
      </c>
      <c r="AT59" s="434">
        <f>27000/4</f>
        <v>6750</v>
      </c>
      <c r="AU59" s="435"/>
      <c r="AV59" s="434"/>
      <c r="AW59" s="437"/>
      <c r="AX59" s="434"/>
      <c r="AY59" s="437"/>
      <c r="AZ59" s="434">
        <v>6750</v>
      </c>
      <c r="BA59" s="437"/>
      <c r="BB59" s="434"/>
      <c r="BC59" s="437"/>
      <c r="BD59" s="434"/>
      <c r="BE59" s="437"/>
      <c r="BF59" s="434">
        <v>6750</v>
      </c>
      <c r="BG59" s="437"/>
      <c r="BH59" s="434"/>
      <c r="BI59" s="437"/>
      <c r="BJ59" s="434"/>
      <c r="BK59" s="437"/>
      <c r="BL59" s="434">
        <v>6750</v>
      </c>
      <c r="BM59" s="437"/>
      <c r="BN59" s="434"/>
      <c r="BO59" s="437"/>
      <c r="BP59" s="504"/>
      <c r="BQ59" s="610">
        <f t="shared" si="17"/>
        <v>27000</v>
      </c>
      <c r="BR59" s="589"/>
      <c r="BS59" s="590"/>
      <c r="BT59" s="539" t="s">
        <v>286</v>
      </c>
      <c r="BU59" s="493">
        <v>27000</v>
      </c>
      <c r="BV59" s="434">
        <f>27000/4</f>
        <v>6750</v>
      </c>
      <c r="BW59" s="435"/>
      <c r="BX59" s="434"/>
      <c r="BY59" s="437"/>
      <c r="BZ59" s="434"/>
      <c r="CA59" s="437"/>
      <c r="CB59" s="434">
        <v>6750</v>
      </c>
      <c r="CC59" s="437"/>
      <c r="CD59" s="434"/>
      <c r="CE59" s="437"/>
      <c r="CF59" s="434"/>
      <c r="CG59" s="437"/>
      <c r="CH59" s="434">
        <v>6750</v>
      </c>
      <c r="CI59" s="437"/>
      <c r="CJ59" s="434"/>
      <c r="CK59" s="437"/>
      <c r="CL59" s="434"/>
      <c r="CM59" s="437"/>
      <c r="CN59" s="434">
        <v>6750</v>
      </c>
      <c r="CO59" s="437"/>
      <c r="CP59" s="434"/>
      <c r="CQ59" s="437"/>
      <c r="CR59" s="504"/>
      <c r="CS59" s="616">
        <f t="shared" si="18"/>
        <v>27000</v>
      </c>
    </row>
    <row r="60" spans="1:97" ht="12" customHeight="1">
      <c r="A60" s="472"/>
      <c r="B60" s="385"/>
      <c r="C60" s="386"/>
      <c r="D60" s="386"/>
      <c r="E60" s="386"/>
      <c r="F60" s="386"/>
      <c r="G60" s="386"/>
      <c r="H60" s="386"/>
      <c r="I60" s="387"/>
      <c r="J60" s="385"/>
      <c r="K60" s="385"/>
      <c r="L60" s="389"/>
      <c r="M60" s="386"/>
      <c r="N60" s="386"/>
      <c r="O60" s="473"/>
      <c r="P60" s="411"/>
      <c r="Q60" s="516" t="s">
        <v>287</v>
      </c>
      <c r="R60" s="494"/>
      <c r="S60" s="434"/>
      <c r="T60" s="435"/>
      <c r="U60" s="434"/>
      <c r="V60" s="442">
        <v>1530</v>
      </c>
      <c r="W60" s="434"/>
      <c r="X60" s="437"/>
      <c r="Y60" s="434"/>
      <c r="Z60" s="437"/>
      <c r="AA60" s="434"/>
      <c r="AB60" s="437"/>
      <c r="AC60" s="434"/>
      <c r="AD60" s="562"/>
      <c r="AE60" s="568"/>
      <c r="AF60" s="579"/>
      <c r="AG60" s="498"/>
      <c r="AH60" s="437"/>
      <c r="AI60" s="434"/>
      <c r="AJ60" s="437"/>
      <c r="AK60" s="434"/>
      <c r="AL60" s="437"/>
      <c r="AM60" s="434"/>
      <c r="AN60" s="437"/>
      <c r="AO60" s="504"/>
      <c r="AP60" s="610">
        <f t="shared" si="1"/>
        <v>0</v>
      </c>
      <c r="AQ60" s="587"/>
      <c r="AR60" s="550" t="s">
        <v>288</v>
      </c>
      <c r="AS60" s="537">
        <f>9520+282</f>
        <v>9802</v>
      </c>
      <c r="AT60" s="434">
        <v>793</v>
      </c>
      <c r="AU60" s="435"/>
      <c r="AV60" s="434">
        <v>793</v>
      </c>
      <c r="AW60" s="437"/>
      <c r="AX60" s="434">
        <v>793</v>
      </c>
      <c r="AY60" s="437"/>
      <c r="AZ60" s="434">
        <v>793</v>
      </c>
      <c r="BA60" s="437"/>
      <c r="BB60" s="434">
        <v>793</v>
      </c>
      <c r="BC60" s="437"/>
      <c r="BD60" s="434">
        <v>793</v>
      </c>
      <c r="BE60" s="437"/>
      <c r="BF60" s="434">
        <v>793</v>
      </c>
      <c r="BG60" s="437"/>
      <c r="BH60" s="434">
        <v>793</v>
      </c>
      <c r="BI60" s="437"/>
      <c r="BJ60" s="434">
        <v>793</v>
      </c>
      <c r="BK60" s="437"/>
      <c r="BL60" s="434">
        <v>793</v>
      </c>
      <c r="BM60" s="437"/>
      <c r="BN60" s="434">
        <v>793</v>
      </c>
      <c r="BO60" s="437"/>
      <c r="BP60" s="504">
        <v>793</v>
      </c>
      <c r="BQ60" s="610">
        <f>SUM(AT60:BP60)</f>
        <v>9516</v>
      </c>
      <c r="BR60" s="589"/>
      <c r="BS60" s="590"/>
      <c r="BT60" s="539"/>
      <c r="BU60" s="493">
        <v>9520</v>
      </c>
      <c r="BV60" s="434">
        <v>793</v>
      </c>
      <c r="BW60" s="435"/>
      <c r="BX60" s="434">
        <v>793</v>
      </c>
      <c r="BY60" s="437"/>
      <c r="BZ60" s="434">
        <v>793</v>
      </c>
      <c r="CA60" s="437"/>
      <c r="CB60" s="434">
        <v>793</v>
      </c>
      <c r="CC60" s="437"/>
      <c r="CD60" s="434">
        <v>793</v>
      </c>
      <c r="CE60" s="437"/>
      <c r="CF60" s="434">
        <v>793</v>
      </c>
      <c r="CG60" s="437"/>
      <c r="CH60" s="434">
        <v>793</v>
      </c>
      <c r="CI60" s="437"/>
      <c r="CJ60" s="434">
        <v>793</v>
      </c>
      <c r="CK60" s="437"/>
      <c r="CL60" s="434">
        <v>793</v>
      </c>
      <c r="CM60" s="437"/>
      <c r="CN60" s="434">
        <v>793</v>
      </c>
      <c r="CO60" s="437"/>
      <c r="CP60" s="434">
        <v>793</v>
      </c>
      <c r="CQ60" s="437"/>
      <c r="CR60" s="504">
        <v>793</v>
      </c>
      <c r="CS60" s="616"/>
    </row>
    <row r="61" spans="1:97" ht="12" customHeight="1">
      <c r="A61" s="472"/>
      <c r="B61" s="385"/>
      <c r="C61" s="386"/>
      <c r="D61" s="386"/>
      <c r="E61" s="386"/>
      <c r="F61" s="386"/>
      <c r="G61" s="386"/>
      <c r="H61" s="386"/>
      <c r="I61" s="387"/>
      <c r="J61" s="385"/>
      <c r="K61" s="385"/>
      <c r="L61" s="389"/>
      <c r="M61" s="386"/>
      <c r="N61" s="386"/>
      <c r="O61" s="473"/>
      <c r="P61" s="411"/>
      <c r="Q61" s="516"/>
      <c r="R61" s="494"/>
      <c r="S61" s="434"/>
      <c r="T61" s="435"/>
      <c r="U61" s="434"/>
      <c r="V61" s="442"/>
      <c r="W61" s="434"/>
      <c r="X61" s="437"/>
      <c r="Y61" s="434"/>
      <c r="Z61" s="437"/>
      <c r="AA61" s="434"/>
      <c r="AB61" s="437"/>
      <c r="AC61" s="434"/>
      <c r="AD61" s="562"/>
      <c r="AE61" s="568"/>
      <c r="AF61" s="579"/>
      <c r="AG61" s="498"/>
      <c r="AH61" s="437"/>
      <c r="AI61" s="434"/>
      <c r="AJ61" s="437"/>
      <c r="AK61" s="434"/>
      <c r="AL61" s="437"/>
      <c r="AM61" s="434"/>
      <c r="AN61" s="437"/>
      <c r="AO61" s="504"/>
      <c r="AP61" s="610">
        <f t="shared" si="1"/>
        <v>0</v>
      </c>
      <c r="AQ61" s="587"/>
      <c r="AR61" s="550" t="s">
        <v>289</v>
      </c>
      <c r="AS61" s="537">
        <f>4580+282</f>
        <v>4862</v>
      </c>
      <c r="AT61" s="434">
        <f>4580/4</f>
        <v>1145</v>
      </c>
      <c r="AU61" s="435"/>
      <c r="AV61" s="434"/>
      <c r="AW61" s="437"/>
      <c r="AX61" s="434"/>
      <c r="AY61" s="437"/>
      <c r="AZ61" s="434">
        <v>1145</v>
      </c>
      <c r="BA61" s="437"/>
      <c r="BB61" s="434"/>
      <c r="BC61" s="437"/>
      <c r="BD61" s="434"/>
      <c r="BE61" s="437"/>
      <c r="BF61" s="434">
        <v>1145</v>
      </c>
      <c r="BG61" s="437"/>
      <c r="BH61" s="434"/>
      <c r="BI61" s="437"/>
      <c r="BJ61" s="434"/>
      <c r="BK61" s="437"/>
      <c r="BL61" s="434">
        <v>1145</v>
      </c>
      <c r="BM61" s="437"/>
      <c r="BN61" s="434"/>
      <c r="BO61" s="437"/>
      <c r="BP61" s="504"/>
      <c r="BQ61" s="610">
        <f>SUM(AT61:BP61)</f>
        <v>4580</v>
      </c>
      <c r="BR61" s="589"/>
      <c r="BS61" s="590"/>
      <c r="BT61" s="539"/>
      <c r="BU61" s="493">
        <v>4580</v>
      </c>
      <c r="BV61" s="434">
        <f>4580/4</f>
        <v>1145</v>
      </c>
      <c r="BW61" s="435"/>
      <c r="BX61" s="434"/>
      <c r="BY61" s="437"/>
      <c r="BZ61" s="434"/>
      <c r="CA61" s="437"/>
      <c r="CB61" s="434">
        <v>1145</v>
      </c>
      <c r="CC61" s="437"/>
      <c r="CD61" s="434"/>
      <c r="CE61" s="437"/>
      <c r="CF61" s="434"/>
      <c r="CG61" s="437"/>
      <c r="CH61" s="434">
        <v>1145</v>
      </c>
      <c r="CI61" s="437"/>
      <c r="CJ61" s="434"/>
      <c r="CK61" s="437"/>
      <c r="CL61" s="434"/>
      <c r="CM61" s="437"/>
      <c r="CN61" s="434">
        <v>1145</v>
      </c>
      <c r="CO61" s="437"/>
      <c r="CP61" s="434"/>
      <c r="CQ61" s="437"/>
      <c r="CR61" s="504"/>
      <c r="CS61" s="616"/>
    </row>
    <row r="62" spans="1:97" ht="12" customHeight="1">
      <c r="A62" s="472" t="s">
        <v>290</v>
      </c>
      <c r="B62" s="385">
        <v>14275</v>
      </c>
      <c r="C62" s="386"/>
      <c r="D62" s="386"/>
      <c r="E62" s="386"/>
      <c r="F62" s="386"/>
      <c r="G62" s="386"/>
      <c r="H62" s="386"/>
      <c r="I62" s="387"/>
      <c r="J62" s="385">
        <v>1828</v>
      </c>
      <c r="K62" s="385">
        <v>1485.95</v>
      </c>
      <c r="L62" s="389">
        <v>1485.95</v>
      </c>
      <c r="M62" s="386">
        <v>1485.95</v>
      </c>
      <c r="N62" s="386">
        <v>1485.95</v>
      </c>
      <c r="O62" s="473">
        <f>SUM(E62:N62)</f>
        <v>7771.7999999999993</v>
      </c>
      <c r="P62" s="481"/>
      <c r="Q62" s="516" t="s">
        <v>290</v>
      </c>
      <c r="R62" s="494">
        <v>19704</v>
      </c>
      <c r="S62" s="434">
        <v>1500</v>
      </c>
      <c r="T62" s="435"/>
      <c r="U62" s="434">
        <v>1500</v>
      </c>
      <c r="V62" s="442"/>
      <c r="W62" s="434">
        <v>1640</v>
      </c>
      <c r="X62" s="437"/>
      <c r="Y62" s="434">
        <v>1640</v>
      </c>
      <c r="Z62" s="437"/>
      <c r="AA62" s="434">
        <v>1640</v>
      </c>
      <c r="AB62" s="437"/>
      <c r="AC62" s="434">
        <v>1640</v>
      </c>
      <c r="AD62" s="562"/>
      <c r="AE62" s="568">
        <v>1640</v>
      </c>
      <c r="AF62" s="579"/>
      <c r="AG62" s="498">
        <v>1640</v>
      </c>
      <c r="AH62" s="437"/>
      <c r="AI62" s="434">
        <v>1640</v>
      </c>
      <c r="AJ62" s="437"/>
      <c r="AK62" s="434">
        <f>AI62</f>
        <v>1640</v>
      </c>
      <c r="AL62" s="437"/>
      <c r="AM62" s="434">
        <v>1640</v>
      </c>
      <c r="AN62" s="437"/>
      <c r="AO62" s="504">
        <v>1640</v>
      </c>
      <c r="AP62" s="610">
        <f t="shared" si="1"/>
        <v>19400</v>
      </c>
      <c r="AQ62" s="587"/>
      <c r="AR62" s="550" t="s">
        <v>290</v>
      </c>
      <c r="AS62" s="537">
        <v>19704</v>
      </c>
      <c r="AT62" s="434">
        <v>1640</v>
      </c>
      <c r="AU62" s="435"/>
      <c r="AV62" s="434">
        <v>1640</v>
      </c>
      <c r="AW62" s="437"/>
      <c r="AX62" s="434">
        <v>1640</v>
      </c>
      <c r="AY62" s="437"/>
      <c r="AZ62" s="434">
        <v>1640</v>
      </c>
      <c r="BA62" s="437"/>
      <c r="BB62" s="434">
        <v>1640</v>
      </c>
      <c r="BC62" s="437"/>
      <c r="BD62" s="434">
        <v>1640</v>
      </c>
      <c r="BE62" s="437"/>
      <c r="BF62" s="434">
        <v>1640</v>
      </c>
      <c r="BG62" s="437"/>
      <c r="BH62" s="434">
        <v>1640</v>
      </c>
      <c r="BI62" s="437"/>
      <c r="BJ62" s="434">
        <v>1640</v>
      </c>
      <c r="BK62" s="437"/>
      <c r="BL62" s="434">
        <f>BJ62</f>
        <v>1640</v>
      </c>
      <c r="BM62" s="437"/>
      <c r="BN62" s="434">
        <v>1640</v>
      </c>
      <c r="BO62" s="437"/>
      <c r="BP62" s="504">
        <v>1640</v>
      </c>
      <c r="BQ62" s="610">
        <f>SUM(AT62:BP62)</f>
        <v>19680</v>
      </c>
      <c r="BR62" s="589"/>
      <c r="BS62" s="590"/>
      <c r="BT62" s="539" t="s">
        <v>290</v>
      </c>
      <c r="BU62" s="493">
        <v>19704</v>
      </c>
      <c r="BV62" s="434">
        <v>1640</v>
      </c>
      <c r="BW62" s="435"/>
      <c r="BX62" s="434">
        <v>1640</v>
      </c>
      <c r="BY62" s="437"/>
      <c r="BZ62" s="434">
        <v>1640</v>
      </c>
      <c r="CA62" s="437"/>
      <c r="CB62" s="434">
        <v>1640</v>
      </c>
      <c r="CC62" s="437"/>
      <c r="CD62" s="434">
        <v>1640</v>
      </c>
      <c r="CE62" s="437"/>
      <c r="CF62" s="434">
        <v>1640</v>
      </c>
      <c r="CG62" s="437"/>
      <c r="CH62" s="434">
        <v>1640</v>
      </c>
      <c r="CI62" s="437"/>
      <c r="CJ62" s="434">
        <v>1640</v>
      </c>
      <c r="CK62" s="437"/>
      <c r="CL62" s="434">
        <v>1640</v>
      </c>
      <c r="CM62" s="437"/>
      <c r="CN62" s="434">
        <f>CL62</f>
        <v>1640</v>
      </c>
      <c r="CO62" s="437"/>
      <c r="CP62" s="434">
        <v>1640</v>
      </c>
      <c r="CQ62" s="437"/>
      <c r="CR62" s="504">
        <v>1640</v>
      </c>
      <c r="CS62" s="616">
        <f t="shared" si="18"/>
        <v>19680</v>
      </c>
    </row>
    <row r="63" spans="1:97" ht="12" customHeight="1">
      <c r="A63" s="472" t="s">
        <v>291</v>
      </c>
      <c r="B63" s="391"/>
      <c r="C63" s="386"/>
      <c r="D63" s="386"/>
      <c r="E63" s="386"/>
      <c r="F63" s="386"/>
      <c r="G63" s="386"/>
      <c r="H63" s="386"/>
      <c r="I63" s="387"/>
      <c r="J63" s="385"/>
      <c r="K63" s="386"/>
      <c r="L63" s="386"/>
      <c r="M63" s="386"/>
      <c r="N63" s="386"/>
      <c r="O63" s="473">
        <f>SUM(I63:N63)</f>
        <v>0</v>
      </c>
      <c r="P63" s="411"/>
      <c r="Q63" s="516" t="s">
        <v>292</v>
      </c>
      <c r="R63" s="494">
        <v>16836</v>
      </c>
      <c r="S63" s="434">
        <v>3150</v>
      </c>
      <c r="T63" s="435"/>
      <c r="U63" s="434"/>
      <c r="V63" s="442"/>
      <c r="W63" s="434"/>
      <c r="X63" s="437"/>
      <c r="Y63" s="434">
        <v>4000</v>
      </c>
      <c r="Z63" s="437"/>
      <c r="AA63" s="434"/>
      <c r="AB63" s="437"/>
      <c r="AC63" s="434"/>
      <c r="AD63" s="562"/>
      <c r="AE63" s="568">
        <v>4500</v>
      </c>
      <c r="AF63" s="579"/>
      <c r="AG63" s="498"/>
      <c r="AH63" s="437"/>
      <c r="AI63" s="434" t="s">
        <v>216</v>
      </c>
      <c r="AJ63" s="437"/>
      <c r="AK63" s="434">
        <v>4500</v>
      </c>
      <c r="AL63" s="437"/>
      <c r="AM63" s="434"/>
      <c r="AN63" s="437"/>
      <c r="AO63" s="504"/>
      <c r="AP63" s="610">
        <f>SUM(S63:AO63)</f>
        <v>16150</v>
      </c>
      <c r="AQ63" s="587"/>
      <c r="AR63" s="550" t="s">
        <v>292</v>
      </c>
      <c r="AS63" s="537">
        <f>16836+731</f>
        <v>17567</v>
      </c>
      <c r="AT63" s="434">
        <f>16836/4</f>
        <v>4209</v>
      </c>
      <c r="AU63" s="435"/>
      <c r="AV63" s="434"/>
      <c r="AW63" s="437"/>
      <c r="AX63" s="434"/>
      <c r="AY63" s="437"/>
      <c r="AZ63" s="434">
        <v>4209</v>
      </c>
      <c r="BA63" s="437"/>
      <c r="BB63" s="434"/>
      <c r="BC63" s="437"/>
      <c r="BD63" s="434"/>
      <c r="BE63" s="437"/>
      <c r="BF63" s="434">
        <v>4209</v>
      </c>
      <c r="BG63" s="437"/>
      <c r="BH63" s="434"/>
      <c r="BI63" s="437"/>
      <c r="BJ63" s="434" t="s">
        <v>216</v>
      </c>
      <c r="BK63" s="437"/>
      <c r="BL63" s="434">
        <v>4209</v>
      </c>
      <c r="BM63" s="437"/>
      <c r="BN63" s="434"/>
      <c r="BO63" s="437"/>
      <c r="BP63" s="504"/>
      <c r="BQ63" s="610">
        <f t="shared" si="17"/>
        <v>16836</v>
      </c>
      <c r="BR63" s="589"/>
      <c r="BS63" s="590"/>
      <c r="BT63" s="539" t="s">
        <v>292</v>
      </c>
      <c r="BU63" s="493">
        <v>16836</v>
      </c>
      <c r="BV63" s="434">
        <f>16836/4</f>
        <v>4209</v>
      </c>
      <c r="BW63" s="435"/>
      <c r="BX63" s="434"/>
      <c r="BY63" s="437"/>
      <c r="BZ63" s="434"/>
      <c r="CA63" s="437"/>
      <c r="CB63" s="434">
        <v>4209</v>
      </c>
      <c r="CC63" s="437"/>
      <c r="CD63" s="434"/>
      <c r="CE63" s="437"/>
      <c r="CF63" s="434"/>
      <c r="CG63" s="437"/>
      <c r="CH63" s="434">
        <v>4209</v>
      </c>
      <c r="CI63" s="437"/>
      <c r="CJ63" s="434"/>
      <c r="CK63" s="437"/>
      <c r="CL63" s="434" t="s">
        <v>216</v>
      </c>
      <c r="CM63" s="437"/>
      <c r="CN63" s="434">
        <v>4209</v>
      </c>
      <c r="CO63" s="437"/>
      <c r="CP63" s="434"/>
      <c r="CQ63" s="437"/>
      <c r="CR63" s="504"/>
      <c r="CS63" s="616">
        <f t="shared" si="18"/>
        <v>16836</v>
      </c>
    </row>
    <row r="64" spans="1:97" ht="12" customHeight="1">
      <c r="A64" s="482" t="s">
        <v>293</v>
      </c>
      <c r="B64" s="385">
        <v>10200</v>
      </c>
      <c r="C64" s="386"/>
      <c r="D64" s="386"/>
      <c r="E64" s="386"/>
      <c r="F64" s="386"/>
      <c r="G64" s="386"/>
      <c r="H64" s="386"/>
      <c r="I64" s="387"/>
      <c r="J64" s="385"/>
      <c r="K64" s="386"/>
      <c r="L64" s="389">
        <v>4887.2700000000004</v>
      </c>
      <c r="M64" s="386">
        <v>1850</v>
      </c>
      <c r="N64" s="386">
        <v>3750</v>
      </c>
      <c r="O64" s="473">
        <f>SUM(E64:N64)</f>
        <v>10487.27</v>
      </c>
      <c r="P64" s="481"/>
      <c r="Q64" s="523" t="s">
        <v>294</v>
      </c>
      <c r="R64" s="494">
        <v>20292</v>
      </c>
      <c r="S64" s="434">
        <v>1700</v>
      </c>
      <c r="T64" s="435">
        <f>1873.96+1589.79</f>
        <v>3463.75</v>
      </c>
      <c r="U64" s="434">
        <v>1700</v>
      </c>
      <c r="V64" s="442"/>
      <c r="W64" s="434">
        <v>1700</v>
      </c>
      <c r="X64" s="437"/>
      <c r="Y64" s="434">
        <v>1700</v>
      </c>
      <c r="Z64" s="437"/>
      <c r="AA64" s="434">
        <v>1700</v>
      </c>
      <c r="AB64" s="437"/>
      <c r="AC64" s="434">
        <v>1700</v>
      </c>
      <c r="AD64" s="562"/>
      <c r="AE64" s="568">
        <v>1700</v>
      </c>
      <c r="AF64" s="579"/>
      <c r="AG64" s="498">
        <v>1700</v>
      </c>
      <c r="AH64" s="437"/>
      <c r="AI64" s="434">
        <v>1700</v>
      </c>
      <c r="AJ64" s="437"/>
      <c r="AK64" s="434">
        <v>1700</v>
      </c>
      <c r="AL64" s="437"/>
      <c r="AM64" s="434">
        <v>1700</v>
      </c>
      <c r="AN64" s="437"/>
      <c r="AO64" s="504">
        <v>1700</v>
      </c>
      <c r="AP64" s="610">
        <f t="shared" si="1"/>
        <v>20400</v>
      </c>
      <c r="AQ64" s="587"/>
      <c r="AR64" s="556" t="s">
        <v>294</v>
      </c>
      <c r="AS64" s="493">
        <f>20292+770</f>
        <v>21062</v>
      </c>
      <c r="AT64" s="434">
        <v>1700</v>
      </c>
      <c r="AU64" s="435"/>
      <c r="AV64" s="434">
        <v>1700</v>
      </c>
      <c r="AW64" s="437"/>
      <c r="AX64" s="434">
        <v>1700</v>
      </c>
      <c r="AY64" s="437"/>
      <c r="AZ64" s="434">
        <v>1700</v>
      </c>
      <c r="BA64" s="437"/>
      <c r="BB64" s="434">
        <v>1700</v>
      </c>
      <c r="BC64" s="437"/>
      <c r="BD64" s="434">
        <v>1700</v>
      </c>
      <c r="BE64" s="437"/>
      <c r="BF64" s="434">
        <v>1700</v>
      </c>
      <c r="BG64" s="437"/>
      <c r="BH64" s="434">
        <v>1700</v>
      </c>
      <c r="BI64" s="437"/>
      <c r="BJ64" s="434">
        <v>1700</v>
      </c>
      <c r="BK64" s="437"/>
      <c r="BL64" s="434">
        <v>1700</v>
      </c>
      <c r="BM64" s="437"/>
      <c r="BN64" s="434">
        <v>1700</v>
      </c>
      <c r="BO64" s="437"/>
      <c r="BP64" s="504">
        <v>1700</v>
      </c>
      <c r="BQ64" s="610">
        <f t="shared" si="17"/>
        <v>20400</v>
      </c>
      <c r="BR64" s="589"/>
      <c r="BS64" s="590"/>
      <c r="BT64" s="545" t="s">
        <v>294</v>
      </c>
      <c r="BU64" s="493">
        <v>20292</v>
      </c>
      <c r="BV64" s="434"/>
      <c r="BW64" s="435"/>
      <c r="BX64" s="434">
        <v>3400</v>
      </c>
      <c r="BY64" s="437"/>
      <c r="BZ64" s="434">
        <v>1700</v>
      </c>
      <c r="CA64" s="437"/>
      <c r="CB64" s="434">
        <v>1700</v>
      </c>
      <c r="CC64" s="437"/>
      <c r="CD64" s="434">
        <v>1700</v>
      </c>
      <c r="CE64" s="437"/>
      <c r="CF64" s="434">
        <v>1700</v>
      </c>
      <c r="CG64" s="437"/>
      <c r="CH64" s="434">
        <v>1700</v>
      </c>
      <c r="CI64" s="437"/>
      <c r="CJ64" s="434">
        <v>1700</v>
      </c>
      <c r="CK64" s="437"/>
      <c r="CL64" s="434">
        <v>1700</v>
      </c>
      <c r="CM64" s="437"/>
      <c r="CN64" s="434">
        <v>1700</v>
      </c>
      <c r="CO64" s="437"/>
      <c r="CP64" s="434">
        <v>1700</v>
      </c>
      <c r="CQ64" s="437"/>
      <c r="CR64" s="504">
        <v>1700</v>
      </c>
      <c r="CS64" s="616">
        <f t="shared" si="18"/>
        <v>20400</v>
      </c>
    </row>
    <row r="65" spans="1:130" ht="12" customHeight="1">
      <c r="A65" s="482"/>
      <c r="B65" s="385"/>
      <c r="C65" s="386"/>
      <c r="D65" s="386"/>
      <c r="E65" s="386"/>
      <c r="F65" s="386"/>
      <c r="G65" s="386"/>
      <c r="H65" s="386"/>
      <c r="I65" s="387"/>
      <c r="J65" s="385"/>
      <c r="K65" s="386"/>
      <c r="L65" s="389"/>
      <c r="M65" s="386"/>
      <c r="N65" s="386"/>
      <c r="O65" s="473"/>
      <c r="P65" s="481"/>
      <c r="Q65" s="523" t="s">
        <v>295</v>
      </c>
      <c r="R65" s="494">
        <v>18185</v>
      </c>
      <c r="S65" s="434">
        <v>1500</v>
      </c>
      <c r="T65" s="435"/>
      <c r="U65" s="434"/>
      <c r="V65" s="442"/>
      <c r="W65" s="434"/>
      <c r="X65" s="437"/>
      <c r="Y65" s="434">
        <v>4600</v>
      </c>
      <c r="Z65" s="437"/>
      <c r="AA65" s="434"/>
      <c r="AB65" s="437"/>
      <c r="AC65" s="434"/>
      <c r="AD65" s="562"/>
      <c r="AE65" s="568">
        <v>4600</v>
      </c>
      <c r="AF65" s="579"/>
      <c r="AG65" s="498"/>
      <c r="AH65" s="437"/>
      <c r="AI65" s="434"/>
      <c r="AJ65" s="437"/>
      <c r="AK65" s="434">
        <v>4600</v>
      </c>
      <c r="AL65" s="437"/>
      <c r="AM65" s="434"/>
      <c r="AN65" s="437"/>
      <c r="AO65" s="504"/>
      <c r="AP65" s="610">
        <f t="shared" si="1"/>
        <v>15300</v>
      </c>
      <c r="AQ65" s="587"/>
      <c r="AR65" s="556" t="s">
        <v>295</v>
      </c>
      <c r="AS65" s="493">
        <v>18185</v>
      </c>
      <c r="AT65" s="434">
        <v>4600</v>
      </c>
      <c r="AU65" s="435"/>
      <c r="AV65" s="434"/>
      <c r="AW65" s="437"/>
      <c r="AX65" s="434"/>
      <c r="AY65" s="437"/>
      <c r="AZ65" s="434">
        <v>4600</v>
      </c>
      <c r="BA65" s="437"/>
      <c r="BB65" s="434"/>
      <c r="BC65" s="437"/>
      <c r="BD65" s="434"/>
      <c r="BE65" s="437"/>
      <c r="BF65" s="434">
        <v>4600</v>
      </c>
      <c r="BG65" s="437"/>
      <c r="BH65" s="434"/>
      <c r="BI65" s="437"/>
      <c r="BJ65" s="434"/>
      <c r="BK65" s="437"/>
      <c r="BL65" s="434">
        <v>4600</v>
      </c>
      <c r="BM65" s="437"/>
      <c r="BN65" s="434"/>
      <c r="BO65" s="437"/>
      <c r="BP65" s="504"/>
      <c r="BQ65" s="610">
        <f t="shared" si="17"/>
        <v>18400</v>
      </c>
      <c r="BR65" s="589"/>
      <c r="BS65" s="590"/>
      <c r="BT65" s="545" t="s">
        <v>295</v>
      </c>
      <c r="BU65" s="493">
        <v>18185</v>
      </c>
      <c r="BV65" s="434">
        <v>4600</v>
      </c>
      <c r="BW65" s="435"/>
      <c r="BX65" s="434"/>
      <c r="BY65" s="437"/>
      <c r="BZ65" s="434"/>
      <c r="CA65" s="437"/>
      <c r="CB65" s="434">
        <v>4600</v>
      </c>
      <c r="CC65" s="437"/>
      <c r="CD65" s="434"/>
      <c r="CE65" s="437"/>
      <c r="CF65" s="434"/>
      <c r="CG65" s="437"/>
      <c r="CH65" s="434">
        <v>4600</v>
      </c>
      <c r="CI65" s="437"/>
      <c r="CJ65" s="434"/>
      <c r="CK65" s="437"/>
      <c r="CL65" s="434"/>
      <c r="CM65" s="437"/>
      <c r="CN65" s="434">
        <v>4600</v>
      </c>
      <c r="CO65" s="437"/>
      <c r="CP65" s="434"/>
      <c r="CQ65" s="437"/>
      <c r="CR65" s="504"/>
      <c r="CS65" s="616">
        <f t="shared" si="18"/>
        <v>18400</v>
      </c>
    </row>
    <row r="66" spans="1:130" ht="12" customHeight="1">
      <c r="A66" s="482"/>
      <c r="B66" s="385"/>
      <c r="C66" s="386"/>
      <c r="D66" s="386"/>
      <c r="E66" s="386"/>
      <c r="F66" s="386"/>
      <c r="G66" s="386"/>
      <c r="H66" s="386"/>
      <c r="I66" s="387"/>
      <c r="J66" s="385"/>
      <c r="K66" s="386"/>
      <c r="L66" s="389"/>
      <c r="M66" s="386"/>
      <c r="N66" s="386"/>
      <c r="O66" s="473"/>
      <c r="P66" s="481"/>
      <c r="Q66" s="523" t="s">
        <v>296</v>
      </c>
      <c r="R66" s="494"/>
      <c r="S66" s="434"/>
      <c r="T66" s="435">
        <f>163+1517+4505+1086</f>
        <v>7271</v>
      </c>
      <c r="U66" s="434"/>
      <c r="V66" s="442">
        <v>7222.71</v>
      </c>
      <c r="W66" s="434"/>
      <c r="X66" s="437"/>
      <c r="Y66" s="434"/>
      <c r="Z66" s="437"/>
      <c r="AA66" s="434"/>
      <c r="AB66" s="437"/>
      <c r="AC66" s="434"/>
      <c r="AD66" s="562"/>
      <c r="AE66" s="568"/>
      <c r="AF66" s="579"/>
      <c r="AG66" s="498"/>
      <c r="AH66" s="437"/>
      <c r="AI66" s="434"/>
      <c r="AJ66" s="437"/>
      <c r="AK66" s="434"/>
      <c r="AL66" s="437"/>
      <c r="AM66" s="434"/>
      <c r="AN66" s="437"/>
      <c r="AO66" s="504"/>
      <c r="AP66" s="610">
        <f t="shared" si="1"/>
        <v>0</v>
      </c>
      <c r="AQ66" s="587"/>
      <c r="AR66" s="556" t="s">
        <v>296</v>
      </c>
      <c r="AS66" s="493"/>
      <c r="AT66" s="434"/>
      <c r="AU66" s="435"/>
      <c r="AV66" s="434"/>
      <c r="AW66" s="437"/>
      <c r="AX66" s="434"/>
      <c r="AY66" s="437"/>
      <c r="AZ66" s="434"/>
      <c r="BA66" s="437"/>
      <c r="BB66" s="434"/>
      <c r="BC66" s="437"/>
      <c r="BD66" s="434"/>
      <c r="BE66" s="437"/>
      <c r="BF66" s="434"/>
      <c r="BG66" s="437"/>
      <c r="BH66" s="434"/>
      <c r="BI66" s="437"/>
      <c r="BJ66" s="434"/>
      <c r="BK66" s="437"/>
      <c r="BL66" s="434"/>
      <c r="BM66" s="437"/>
      <c r="BN66" s="434"/>
      <c r="BO66" s="437"/>
      <c r="BP66" s="504"/>
      <c r="BQ66" s="610"/>
      <c r="BR66" s="589"/>
      <c r="BS66" s="590"/>
      <c r="BT66" s="545" t="s">
        <v>296</v>
      </c>
      <c r="BU66" s="493"/>
      <c r="BV66" s="434"/>
      <c r="BW66" s="435"/>
      <c r="BX66" s="434"/>
      <c r="BY66" s="437"/>
      <c r="BZ66" s="434"/>
      <c r="CA66" s="437"/>
      <c r="CB66" s="434"/>
      <c r="CC66" s="437"/>
      <c r="CD66" s="434"/>
      <c r="CE66" s="437"/>
      <c r="CF66" s="434"/>
      <c r="CG66" s="437"/>
      <c r="CH66" s="434"/>
      <c r="CI66" s="437"/>
      <c r="CJ66" s="434"/>
      <c r="CK66" s="437"/>
      <c r="CL66" s="434"/>
      <c r="CM66" s="437"/>
      <c r="CN66" s="434"/>
      <c r="CO66" s="437"/>
      <c r="CP66" s="434"/>
      <c r="CQ66" s="437"/>
      <c r="CR66" s="504"/>
      <c r="CS66" s="616"/>
    </row>
    <row r="67" spans="1:130" ht="12" customHeight="1">
      <c r="A67" s="472" t="s">
        <v>297</v>
      </c>
      <c r="B67" s="391"/>
      <c r="C67" s="386"/>
      <c r="D67" s="386"/>
      <c r="E67" s="386"/>
      <c r="F67" s="386"/>
      <c r="G67" s="386"/>
      <c r="H67" s="386"/>
      <c r="I67" s="387"/>
      <c r="J67" s="385"/>
      <c r="K67" s="388"/>
      <c r="L67" s="386"/>
      <c r="M67" s="386"/>
      <c r="N67" s="386"/>
      <c r="O67" s="473">
        <f>SUM(E67:N67)</f>
        <v>0</v>
      </c>
      <c r="P67" s="411"/>
      <c r="Q67" s="516" t="s">
        <v>298</v>
      </c>
      <c r="R67" s="494">
        <v>1600</v>
      </c>
      <c r="S67" s="434"/>
      <c r="T67" s="435"/>
      <c r="U67" s="434"/>
      <c r="V67" s="442"/>
      <c r="W67" s="434"/>
      <c r="X67" s="437"/>
      <c r="Y67" s="434">
        <v>1600</v>
      </c>
      <c r="Z67" s="437"/>
      <c r="AA67" s="434"/>
      <c r="AB67" s="437"/>
      <c r="AC67" s="434"/>
      <c r="AD67" s="562"/>
      <c r="AE67" s="568"/>
      <c r="AF67" s="579"/>
      <c r="AG67" s="498"/>
      <c r="AH67" s="437"/>
      <c r="AI67" s="434"/>
      <c r="AJ67" s="437"/>
      <c r="AK67" s="434"/>
      <c r="AL67" s="437"/>
      <c r="AM67" s="434"/>
      <c r="AN67" s="437"/>
      <c r="AO67" s="504"/>
      <c r="AP67" s="610">
        <f t="shared" si="1"/>
        <v>1600</v>
      </c>
      <c r="AQ67" s="587"/>
      <c r="AR67" s="550" t="s">
        <v>298</v>
      </c>
      <c r="AS67" s="537">
        <v>1632</v>
      </c>
      <c r="AT67" s="434"/>
      <c r="AU67" s="435"/>
      <c r="AV67" s="434"/>
      <c r="AW67" s="437"/>
      <c r="AX67" s="434"/>
      <c r="AY67" s="437"/>
      <c r="AZ67" s="434"/>
      <c r="BA67" s="437"/>
      <c r="BB67" s="434">
        <v>1600</v>
      </c>
      <c r="BC67" s="437"/>
      <c r="BD67" s="434"/>
      <c r="BE67" s="437"/>
      <c r="BF67" s="434"/>
      <c r="BG67" s="437"/>
      <c r="BH67" s="434"/>
      <c r="BI67" s="437"/>
      <c r="BJ67" s="434"/>
      <c r="BK67" s="437"/>
      <c r="BL67" s="434"/>
      <c r="BM67" s="437"/>
      <c r="BN67" s="434"/>
      <c r="BO67" s="437"/>
      <c r="BP67" s="504"/>
      <c r="BQ67" s="610">
        <f t="shared" ref="BQ67:BQ72" si="20">SUM(AT67:BP67)</f>
        <v>1600</v>
      </c>
      <c r="BR67" s="589"/>
      <c r="BS67" s="590"/>
      <c r="BT67" s="539" t="s">
        <v>298</v>
      </c>
      <c r="BU67" s="494">
        <v>1601</v>
      </c>
      <c r="BV67" s="434"/>
      <c r="BW67" s="435"/>
      <c r="BX67" s="434"/>
      <c r="BY67" s="437"/>
      <c r="BZ67" s="434"/>
      <c r="CA67" s="437"/>
      <c r="CB67" s="434"/>
      <c r="CC67" s="437"/>
      <c r="CD67" s="434">
        <v>1600</v>
      </c>
      <c r="CE67" s="437"/>
      <c r="CF67" s="434"/>
      <c r="CG67" s="437"/>
      <c r="CH67" s="434"/>
      <c r="CI67" s="437"/>
      <c r="CJ67" s="434"/>
      <c r="CK67" s="437"/>
      <c r="CL67" s="434"/>
      <c r="CM67" s="437"/>
      <c r="CN67" s="434"/>
      <c r="CO67" s="437"/>
      <c r="CP67" s="434"/>
      <c r="CQ67" s="437"/>
      <c r="CR67" s="504"/>
      <c r="CS67" s="616">
        <f>SUM(BV67:CR67)</f>
        <v>1600</v>
      </c>
    </row>
    <row r="68" spans="1:130" ht="12" customHeight="1">
      <c r="A68" s="472" t="s">
        <v>92</v>
      </c>
      <c r="B68" s="391"/>
      <c r="C68" s="386">
        <v>0</v>
      </c>
      <c r="D68" s="386">
        <v>0</v>
      </c>
      <c r="E68" s="386"/>
      <c r="F68" s="386"/>
      <c r="G68" s="386"/>
      <c r="H68" s="386"/>
      <c r="I68" s="387"/>
      <c r="J68" s="385"/>
      <c r="K68" s="386"/>
      <c r="L68" s="389">
        <v>20.16</v>
      </c>
      <c r="M68" s="386"/>
      <c r="N68" s="386"/>
      <c r="O68" s="473">
        <f>SUM(E68:N68)</f>
        <v>20.16</v>
      </c>
      <c r="P68" s="411"/>
      <c r="Q68" s="516" t="s">
        <v>299</v>
      </c>
      <c r="R68" s="493"/>
      <c r="S68" s="434">
        <v>0</v>
      </c>
      <c r="T68" s="435"/>
      <c r="U68" s="434">
        <v>0</v>
      </c>
      <c r="V68" s="442"/>
      <c r="W68" s="434"/>
      <c r="X68" s="437"/>
      <c r="Y68" s="434"/>
      <c r="Z68" s="437"/>
      <c r="AA68" s="434"/>
      <c r="AB68" s="437"/>
      <c r="AC68" s="434"/>
      <c r="AD68" s="562"/>
      <c r="AE68" s="568"/>
      <c r="AF68" s="579"/>
      <c r="AG68" s="498"/>
      <c r="AH68" s="437"/>
      <c r="AI68" s="434"/>
      <c r="AJ68" s="437"/>
      <c r="AK68" s="434"/>
      <c r="AL68" s="437"/>
      <c r="AM68" s="434"/>
      <c r="AN68" s="437"/>
      <c r="AO68" s="504"/>
      <c r="AP68" s="610">
        <f t="shared" si="1"/>
        <v>0</v>
      </c>
      <c r="AQ68" s="587"/>
      <c r="AR68" s="550" t="s">
        <v>299</v>
      </c>
      <c r="AS68" s="493"/>
      <c r="AT68" s="434">
        <v>0</v>
      </c>
      <c r="AU68" s="435"/>
      <c r="AV68" s="434">
        <v>0</v>
      </c>
      <c r="AW68" s="437"/>
      <c r="AX68" s="434"/>
      <c r="AY68" s="437"/>
      <c r="AZ68" s="434"/>
      <c r="BA68" s="437"/>
      <c r="BB68" s="434"/>
      <c r="BC68" s="437"/>
      <c r="BD68" s="434"/>
      <c r="BE68" s="437"/>
      <c r="BF68" s="434"/>
      <c r="BG68" s="437"/>
      <c r="BH68" s="434"/>
      <c r="BI68" s="437"/>
      <c r="BJ68" s="434"/>
      <c r="BK68" s="437"/>
      <c r="BL68" s="434"/>
      <c r="BM68" s="437"/>
      <c r="BN68" s="434"/>
      <c r="BO68" s="437"/>
      <c r="BP68" s="504"/>
      <c r="BQ68" s="610">
        <f t="shared" si="20"/>
        <v>0</v>
      </c>
      <c r="BR68" s="589"/>
      <c r="BS68" s="590"/>
      <c r="BT68" s="539" t="s">
        <v>299</v>
      </c>
      <c r="BU68" s="493"/>
      <c r="BV68" s="434">
        <v>0</v>
      </c>
      <c r="BW68" s="435"/>
      <c r="BX68" s="434">
        <v>0</v>
      </c>
      <c r="BY68" s="437"/>
      <c r="BZ68" s="434"/>
      <c r="CA68" s="437"/>
      <c r="CB68" s="434"/>
      <c r="CC68" s="437"/>
      <c r="CD68" s="434"/>
      <c r="CE68" s="437"/>
      <c r="CF68" s="434"/>
      <c r="CG68" s="437"/>
      <c r="CH68" s="434"/>
      <c r="CI68" s="437"/>
      <c r="CJ68" s="434"/>
      <c r="CK68" s="437"/>
      <c r="CL68" s="434"/>
      <c r="CM68" s="437"/>
      <c r="CN68" s="434"/>
      <c r="CO68" s="437"/>
      <c r="CP68" s="434"/>
      <c r="CQ68" s="437"/>
      <c r="CR68" s="504"/>
      <c r="CS68" s="616">
        <f>SUM(BV68:CR68)</f>
        <v>0</v>
      </c>
    </row>
    <row r="69" spans="1:130" ht="12" customHeight="1">
      <c r="A69" s="472" t="s">
        <v>300</v>
      </c>
      <c r="B69" s="385">
        <v>230</v>
      </c>
      <c r="C69" s="386"/>
      <c r="D69" s="386"/>
      <c r="E69" s="386"/>
      <c r="F69" s="386"/>
      <c r="G69" s="386"/>
      <c r="H69" s="386"/>
      <c r="I69" s="387"/>
      <c r="J69" s="385"/>
      <c r="K69" s="386"/>
      <c r="L69" s="390"/>
      <c r="M69" s="386"/>
      <c r="N69" s="386">
        <v>315</v>
      </c>
      <c r="O69" s="473">
        <f>SUM(E69:N69)</f>
        <v>315</v>
      </c>
      <c r="P69" s="411"/>
      <c r="Q69" s="516" t="s">
        <v>300</v>
      </c>
      <c r="R69" s="494">
        <v>434</v>
      </c>
      <c r="S69" s="439"/>
      <c r="T69" s="435"/>
      <c r="U69" s="434">
        <v>143</v>
      </c>
      <c r="V69" s="442">
        <v>143.99</v>
      </c>
      <c r="W69" s="434"/>
      <c r="X69" s="441"/>
      <c r="Y69" s="439"/>
      <c r="Z69" s="441"/>
      <c r="AA69" s="439"/>
      <c r="AB69" s="441"/>
      <c r="AC69" s="439"/>
      <c r="AD69" s="566"/>
      <c r="AE69" s="569"/>
      <c r="AF69" s="580"/>
      <c r="AG69" s="578"/>
      <c r="AH69" s="441"/>
      <c r="AI69" s="439"/>
      <c r="AJ69" s="441"/>
      <c r="AK69" s="439"/>
      <c r="AL69" s="441"/>
      <c r="AM69" s="439"/>
      <c r="AN69" s="441"/>
      <c r="AO69" s="607"/>
      <c r="AP69" s="610">
        <f t="shared" si="1"/>
        <v>143</v>
      </c>
      <c r="AQ69" s="587"/>
      <c r="AR69" s="550" t="s">
        <v>300</v>
      </c>
      <c r="AS69" s="537">
        <v>434</v>
      </c>
      <c r="AT69" s="439"/>
      <c r="AU69" s="435"/>
      <c r="AV69" s="434">
        <v>434</v>
      </c>
      <c r="AW69" s="441"/>
      <c r="AX69" s="434"/>
      <c r="AY69" s="441"/>
      <c r="AZ69" s="439"/>
      <c r="BA69" s="441"/>
      <c r="BB69" s="439"/>
      <c r="BC69" s="441"/>
      <c r="BD69" s="439"/>
      <c r="BE69" s="441"/>
      <c r="BF69" s="439"/>
      <c r="BG69" s="441"/>
      <c r="BH69" s="439"/>
      <c r="BI69" s="441"/>
      <c r="BJ69" s="439"/>
      <c r="BK69" s="441"/>
      <c r="BL69" s="439"/>
      <c r="BM69" s="441"/>
      <c r="BN69" s="439"/>
      <c r="BO69" s="441"/>
      <c r="BP69" s="607"/>
      <c r="BQ69" s="610">
        <f t="shared" si="20"/>
        <v>434</v>
      </c>
      <c r="BR69" s="589"/>
      <c r="BS69" s="590"/>
      <c r="BT69" s="539" t="s">
        <v>300</v>
      </c>
      <c r="BU69" s="493">
        <v>434</v>
      </c>
      <c r="BV69" s="439"/>
      <c r="BW69" s="435"/>
      <c r="BX69" s="434">
        <v>434</v>
      </c>
      <c r="BY69" s="441"/>
      <c r="BZ69" s="434"/>
      <c r="CA69" s="441"/>
      <c r="CB69" s="439"/>
      <c r="CC69" s="441"/>
      <c r="CD69" s="439"/>
      <c r="CE69" s="441"/>
      <c r="CF69" s="439"/>
      <c r="CG69" s="441"/>
      <c r="CH69" s="439"/>
      <c r="CI69" s="441"/>
      <c r="CJ69" s="439"/>
      <c r="CK69" s="441"/>
      <c r="CL69" s="439"/>
      <c r="CM69" s="441"/>
      <c r="CN69" s="439"/>
      <c r="CO69" s="441"/>
      <c r="CP69" s="439"/>
      <c r="CQ69" s="441"/>
      <c r="CR69" s="607"/>
      <c r="CS69" s="616">
        <f>SUM(BV69:CR69)</f>
        <v>434</v>
      </c>
    </row>
    <row r="70" spans="1:130" ht="12" customHeight="1">
      <c r="A70" s="472"/>
      <c r="B70" s="385"/>
      <c r="C70" s="386"/>
      <c r="D70" s="386"/>
      <c r="E70" s="386"/>
      <c r="F70" s="386"/>
      <c r="G70" s="386"/>
      <c r="H70" s="386"/>
      <c r="I70" s="387"/>
      <c r="J70" s="385"/>
      <c r="K70" s="386"/>
      <c r="L70" s="390"/>
      <c r="M70" s="386"/>
      <c r="N70" s="386"/>
      <c r="O70" s="473"/>
      <c r="P70" s="411"/>
      <c r="Q70" s="516" t="s">
        <v>276</v>
      </c>
      <c r="R70" s="494">
        <v>1500</v>
      </c>
      <c r="S70" s="439"/>
      <c r="T70" s="435"/>
      <c r="U70" s="439"/>
      <c r="V70" s="441"/>
      <c r="W70" s="439"/>
      <c r="X70" s="441"/>
      <c r="Y70" s="439"/>
      <c r="Z70" s="441"/>
      <c r="AA70" s="439"/>
      <c r="AB70" s="441"/>
      <c r="AC70" s="439"/>
      <c r="AD70" s="566"/>
      <c r="AE70" s="569"/>
      <c r="AF70" s="580"/>
      <c r="AG70" s="578"/>
      <c r="AH70" s="441"/>
      <c r="AI70" s="439"/>
      <c r="AJ70" s="441"/>
      <c r="AK70" s="439"/>
      <c r="AL70" s="441"/>
      <c r="AM70" s="439"/>
      <c r="AN70" s="441"/>
      <c r="AO70" s="607"/>
      <c r="AP70" s="610">
        <f t="shared" si="1"/>
        <v>0</v>
      </c>
      <c r="AQ70" s="587"/>
      <c r="AR70" s="550" t="s">
        <v>276</v>
      </c>
      <c r="AS70" s="537">
        <v>1530</v>
      </c>
      <c r="AT70" s="439"/>
      <c r="AU70" s="435"/>
      <c r="AV70" s="439"/>
      <c r="AW70" s="441"/>
      <c r="AX70" s="439">
        <v>1500</v>
      </c>
      <c r="AY70" s="441"/>
      <c r="AZ70" s="439"/>
      <c r="BA70" s="441"/>
      <c r="BB70" s="439"/>
      <c r="BC70" s="441"/>
      <c r="BD70" s="439"/>
      <c r="BE70" s="441"/>
      <c r="BF70" s="439"/>
      <c r="BG70" s="441"/>
      <c r="BH70" s="439"/>
      <c r="BI70" s="441"/>
      <c r="BJ70" s="439"/>
      <c r="BK70" s="441"/>
      <c r="BL70" s="439"/>
      <c r="BM70" s="441"/>
      <c r="BN70" s="439"/>
      <c r="BO70" s="441"/>
      <c r="BP70" s="607"/>
      <c r="BQ70" s="610">
        <f t="shared" si="20"/>
        <v>1500</v>
      </c>
      <c r="BR70" s="589"/>
      <c r="BS70" s="590"/>
      <c r="BT70" s="539" t="s">
        <v>276</v>
      </c>
      <c r="BU70" s="493">
        <v>1500</v>
      </c>
      <c r="BV70" s="439"/>
      <c r="BW70" s="435"/>
      <c r="BX70" s="439"/>
      <c r="BY70" s="441"/>
      <c r="BZ70" s="439">
        <v>1500</v>
      </c>
      <c r="CA70" s="441"/>
      <c r="CB70" s="439"/>
      <c r="CC70" s="441"/>
      <c r="CD70" s="439"/>
      <c r="CE70" s="441"/>
      <c r="CF70" s="439"/>
      <c r="CG70" s="441"/>
      <c r="CH70" s="439"/>
      <c r="CI70" s="441"/>
      <c r="CJ70" s="439"/>
      <c r="CK70" s="441"/>
      <c r="CL70" s="439"/>
      <c r="CM70" s="441"/>
      <c r="CN70" s="439"/>
      <c r="CO70" s="441"/>
      <c r="CP70" s="439"/>
      <c r="CQ70" s="441"/>
      <c r="CR70" s="607"/>
      <c r="CS70" s="616"/>
    </row>
    <row r="71" spans="1:130" ht="12" customHeight="1" thickBot="1">
      <c r="A71" s="472" t="s">
        <v>301</v>
      </c>
      <c r="B71" s="385">
        <v>300</v>
      </c>
      <c r="C71" s="386">
        <v>0</v>
      </c>
      <c r="D71" s="386">
        <v>0</v>
      </c>
      <c r="E71" s="386">
        <v>0</v>
      </c>
      <c r="F71" s="386">
        <v>0</v>
      </c>
      <c r="G71" s="386">
        <v>0</v>
      </c>
      <c r="H71" s="386">
        <v>0</v>
      </c>
      <c r="I71" s="387">
        <v>0</v>
      </c>
      <c r="J71" s="385">
        <v>0</v>
      </c>
      <c r="K71" s="386">
        <v>0</v>
      </c>
      <c r="L71" s="386">
        <v>0</v>
      </c>
      <c r="M71" s="386">
        <v>0</v>
      </c>
      <c r="N71" s="386">
        <v>0</v>
      </c>
      <c r="O71" s="473">
        <f>SUM(E71:N71)</f>
        <v>0</v>
      </c>
      <c r="P71" s="411"/>
      <c r="Q71" s="518" t="s">
        <v>301</v>
      </c>
      <c r="R71" s="499">
        <v>5314</v>
      </c>
      <c r="S71" s="448">
        <v>0</v>
      </c>
      <c r="T71" s="449">
        <v>195</v>
      </c>
      <c r="U71" s="448">
        <v>0</v>
      </c>
      <c r="V71" s="450"/>
      <c r="W71" s="448"/>
      <c r="X71" s="450"/>
      <c r="Y71" s="448">
        <v>1000</v>
      </c>
      <c r="Z71" s="450"/>
      <c r="AA71" s="448">
        <v>0</v>
      </c>
      <c r="AB71" s="450"/>
      <c r="AC71" s="448">
        <v>0</v>
      </c>
      <c r="AD71" s="563"/>
      <c r="AE71" s="570">
        <v>1000</v>
      </c>
      <c r="AF71" s="581"/>
      <c r="AG71" s="577">
        <v>0</v>
      </c>
      <c r="AH71" s="450"/>
      <c r="AI71" s="448">
        <v>1500</v>
      </c>
      <c r="AJ71" s="450"/>
      <c r="AK71" s="448">
        <v>0</v>
      </c>
      <c r="AL71" s="450"/>
      <c r="AM71" s="448">
        <v>0</v>
      </c>
      <c r="AN71" s="450"/>
      <c r="AO71" s="505">
        <v>1500</v>
      </c>
      <c r="AP71" s="611">
        <f t="shared" si="1"/>
        <v>5000</v>
      </c>
      <c r="AQ71" s="587"/>
      <c r="AR71" s="551" t="s">
        <v>301</v>
      </c>
      <c r="AS71" s="538">
        <v>5334</v>
      </c>
      <c r="AT71" s="448">
        <v>0</v>
      </c>
      <c r="AU71" s="449"/>
      <c r="AV71" s="448">
        <v>0</v>
      </c>
      <c r="AW71" s="450"/>
      <c r="AX71" s="448"/>
      <c r="AY71" s="450"/>
      <c r="AZ71" s="448">
        <v>1000</v>
      </c>
      <c r="BA71" s="450"/>
      <c r="BB71" s="448">
        <v>0</v>
      </c>
      <c r="BC71" s="450"/>
      <c r="BD71" s="448">
        <v>0</v>
      </c>
      <c r="BE71" s="450"/>
      <c r="BF71" s="448">
        <v>1000</v>
      </c>
      <c r="BG71" s="450"/>
      <c r="BH71" s="448">
        <v>0</v>
      </c>
      <c r="BI71" s="450"/>
      <c r="BJ71" s="448">
        <v>1500</v>
      </c>
      <c r="BK71" s="450"/>
      <c r="BL71" s="448">
        <v>0</v>
      </c>
      <c r="BM71" s="450"/>
      <c r="BN71" s="448">
        <v>0</v>
      </c>
      <c r="BO71" s="450"/>
      <c r="BP71" s="505">
        <v>1814</v>
      </c>
      <c r="BQ71" s="611">
        <f>SUM(AT71:BP71)</f>
        <v>5314</v>
      </c>
      <c r="BR71" s="589"/>
      <c r="BS71" s="590"/>
      <c r="BT71" s="540" t="s">
        <v>301</v>
      </c>
      <c r="BU71" s="495">
        <v>5314</v>
      </c>
      <c r="BV71" s="448">
        <v>0</v>
      </c>
      <c r="BW71" s="449"/>
      <c r="BX71" s="448">
        <v>0</v>
      </c>
      <c r="BY71" s="450"/>
      <c r="BZ71" s="448"/>
      <c r="CA71" s="450"/>
      <c r="CB71" s="448">
        <v>1000</v>
      </c>
      <c r="CC71" s="450"/>
      <c r="CD71" s="448">
        <v>0</v>
      </c>
      <c r="CE71" s="450"/>
      <c r="CF71" s="448">
        <v>0</v>
      </c>
      <c r="CG71" s="450"/>
      <c r="CH71" s="448">
        <v>1000</v>
      </c>
      <c r="CI71" s="450"/>
      <c r="CJ71" s="448">
        <v>0</v>
      </c>
      <c r="CK71" s="450"/>
      <c r="CL71" s="448">
        <v>1500</v>
      </c>
      <c r="CM71" s="450"/>
      <c r="CN71" s="448">
        <v>0</v>
      </c>
      <c r="CO71" s="450"/>
      <c r="CP71" s="448">
        <v>0</v>
      </c>
      <c r="CQ71" s="450"/>
      <c r="CR71" s="505">
        <v>1814</v>
      </c>
      <c r="CS71" s="617">
        <f>SUM(BV71:CR71)</f>
        <v>5314</v>
      </c>
    </row>
    <row r="72" spans="1:130" ht="12" customHeight="1" thickTop="1" thickBot="1">
      <c r="A72" s="483" t="s">
        <v>302</v>
      </c>
      <c r="B72" s="385">
        <f t="shared" ref="B72:O72" si="21">SUM(B31:B71)</f>
        <v>74259</v>
      </c>
      <c r="C72" s="391">
        <f t="shared" si="21"/>
        <v>0</v>
      </c>
      <c r="D72" s="391">
        <f t="shared" si="21"/>
        <v>0</v>
      </c>
      <c r="E72" s="391">
        <f t="shared" si="21"/>
        <v>0</v>
      </c>
      <c r="F72" s="391">
        <f t="shared" si="21"/>
        <v>0</v>
      </c>
      <c r="G72" s="391">
        <f t="shared" si="21"/>
        <v>0</v>
      </c>
      <c r="H72" s="391">
        <f t="shared" si="21"/>
        <v>0</v>
      </c>
      <c r="I72" s="387">
        <f t="shared" si="21"/>
        <v>1399.97</v>
      </c>
      <c r="J72" s="385">
        <f t="shared" si="21"/>
        <v>6027.38</v>
      </c>
      <c r="K72" s="391">
        <f t="shared" si="21"/>
        <v>6274.47</v>
      </c>
      <c r="L72" s="391">
        <f t="shared" si="21"/>
        <v>17770.45</v>
      </c>
      <c r="M72" s="391">
        <f t="shared" si="21"/>
        <v>13966.95</v>
      </c>
      <c r="N72" s="391">
        <f t="shared" si="21"/>
        <v>13589.95</v>
      </c>
      <c r="O72" s="423">
        <f t="shared" si="21"/>
        <v>59029.170000000013</v>
      </c>
      <c r="P72" s="397"/>
      <c r="Q72" s="524" t="s">
        <v>303</v>
      </c>
      <c r="R72" s="496">
        <f t="shared" ref="R72:Y72" si="22">SUM(R31:R71)</f>
        <v>222021</v>
      </c>
      <c r="S72" s="457">
        <f t="shared" si="22"/>
        <v>19824</v>
      </c>
      <c r="T72" s="458">
        <f t="shared" si="22"/>
        <v>20609.59</v>
      </c>
      <c r="U72" s="457">
        <f t="shared" si="22"/>
        <v>10392</v>
      </c>
      <c r="V72" s="458">
        <f t="shared" si="22"/>
        <v>10796.39</v>
      </c>
      <c r="W72" s="457">
        <f t="shared" si="22"/>
        <v>16305</v>
      </c>
      <c r="X72" s="459">
        <f t="shared" si="22"/>
        <v>0</v>
      </c>
      <c r="Y72" s="457">
        <f t="shared" si="22"/>
        <v>29166</v>
      </c>
      <c r="Z72" s="459"/>
      <c r="AA72" s="457">
        <f>SUM(AA31:AA71)</f>
        <v>11139</v>
      </c>
      <c r="AB72" s="459"/>
      <c r="AC72" s="457">
        <f>SUM(AC26:AC71)</f>
        <v>26809</v>
      </c>
      <c r="AD72" s="564"/>
      <c r="AE72" s="571">
        <f>SUM(AE26:AE71)</f>
        <v>29257</v>
      </c>
      <c r="AF72" s="582"/>
      <c r="AG72" s="496">
        <f>SUM(AG25:AG71)</f>
        <v>21772</v>
      </c>
      <c r="AH72" s="459"/>
      <c r="AI72" s="457">
        <f>SUM(AI25:AI71)</f>
        <v>14994</v>
      </c>
      <c r="AJ72" s="459"/>
      <c r="AK72" s="457">
        <f>SUM(AK25:AK71)</f>
        <v>32898</v>
      </c>
      <c r="AL72" s="459"/>
      <c r="AM72" s="457">
        <f>SUM(AM25:AM71)</f>
        <v>12280</v>
      </c>
      <c r="AN72" s="459"/>
      <c r="AO72" s="506">
        <f>SUM(AO25:AO71)</f>
        <v>15169</v>
      </c>
      <c r="AP72" s="612">
        <f>SUM(AP31:AP71)</f>
        <v>212607</v>
      </c>
      <c r="AQ72" s="510"/>
      <c r="AR72" s="552" t="s">
        <v>302</v>
      </c>
      <c r="AS72" s="496">
        <f t="shared" ref="AS72:AZ72" si="23">SUM(AS31:AS71)</f>
        <v>246235</v>
      </c>
      <c r="AT72" s="457">
        <f t="shared" si="23"/>
        <v>33456</v>
      </c>
      <c r="AU72" s="458"/>
      <c r="AV72" s="457">
        <f t="shared" si="23"/>
        <v>12660</v>
      </c>
      <c r="AW72" s="459">
        <f t="shared" si="23"/>
        <v>5094</v>
      </c>
      <c r="AX72" s="457">
        <f t="shared" si="23"/>
        <v>14211</v>
      </c>
      <c r="AY72" s="459">
        <f t="shared" si="23"/>
        <v>5094</v>
      </c>
      <c r="AZ72" s="457">
        <f t="shared" si="23"/>
        <v>35606</v>
      </c>
      <c r="BA72" s="459"/>
      <c r="BB72" s="457">
        <f>SUM(BB31:BB71)</f>
        <v>13736</v>
      </c>
      <c r="BC72" s="459"/>
      <c r="BD72" s="457">
        <f>SUM(BD31:BD71)</f>
        <v>12286</v>
      </c>
      <c r="BE72" s="459"/>
      <c r="BF72" s="457">
        <f>SUM(BF31:BF71)</f>
        <v>34501</v>
      </c>
      <c r="BG72" s="459"/>
      <c r="BH72" s="457">
        <f>SUM(BH31:BH71)</f>
        <v>12986</v>
      </c>
      <c r="BI72" s="459"/>
      <c r="BJ72" s="457">
        <f>SUM(BJ31:BJ71)</f>
        <v>13636</v>
      </c>
      <c r="BK72" s="459"/>
      <c r="BL72" s="457">
        <f>SUM(BL31:BL71)</f>
        <v>33166</v>
      </c>
      <c r="BM72" s="459"/>
      <c r="BN72" s="457">
        <f>SUM(BN31:BN71)</f>
        <v>12801</v>
      </c>
      <c r="BO72" s="459"/>
      <c r="BP72" s="506">
        <f>SUM(BP31:BP71)</f>
        <v>14125</v>
      </c>
      <c r="BQ72" s="612">
        <f t="shared" si="20"/>
        <v>253358</v>
      </c>
      <c r="BR72" s="512"/>
      <c r="BS72" s="513"/>
      <c r="BT72" s="541" t="s">
        <v>302</v>
      </c>
      <c r="BU72" s="496">
        <f>SUM(BU31:BU71)</f>
        <v>241690</v>
      </c>
      <c r="BV72" s="457">
        <f>SUM(BV31:BV71)</f>
        <v>29163</v>
      </c>
      <c r="BW72" s="458"/>
      <c r="BX72" s="457">
        <f>SUM(BX31:BX71)</f>
        <v>16417</v>
      </c>
      <c r="BY72" s="459">
        <f>SUM(BY31:BY71)</f>
        <v>0</v>
      </c>
      <c r="BZ72" s="457">
        <f>SUM(BZ31:BZ71)</f>
        <v>14229</v>
      </c>
      <c r="CA72" s="459">
        <f>SUM(CA31:CA71)</f>
        <v>0</v>
      </c>
      <c r="CB72" s="457">
        <f>SUM(CB31:CB71)</f>
        <v>35403</v>
      </c>
      <c r="CC72" s="459"/>
      <c r="CD72" s="457">
        <f>SUM(CD31:CD71)</f>
        <v>13758</v>
      </c>
      <c r="CE72" s="459"/>
      <c r="CF72" s="457">
        <f>SUM(CF31:CF71)</f>
        <v>12188</v>
      </c>
      <c r="CG72" s="459"/>
      <c r="CH72" s="457">
        <f>SUM(CH31:CH71)</f>
        <v>34518</v>
      </c>
      <c r="CI72" s="459"/>
      <c r="CJ72" s="457">
        <f>SUM(CJ31:CJ71)</f>
        <v>12953</v>
      </c>
      <c r="CK72" s="459"/>
      <c r="CL72" s="457">
        <f>SUM(CL31:CL71)</f>
        <v>13408</v>
      </c>
      <c r="CM72" s="459"/>
      <c r="CN72" s="457">
        <f>SUM(CN31:CN71)</f>
        <v>33191</v>
      </c>
      <c r="CO72" s="459"/>
      <c r="CP72" s="457">
        <f>SUM(CP31:CP71)</f>
        <v>12564</v>
      </c>
      <c r="CQ72" s="459"/>
      <c r="CR72" s="506">
        <f>SUM(CR31:CR71)</f>
        <v>14191</v>
      </c>
      <c r="CS72" s="618">
        <f>SUM(BV72:CR72)</f>
        <v>241983</v>
      </c>
    </row>
    <row r="73" spans="1:130" ht="15.75" thickTop="1">
      <c r="A73" s="484" t="s">
        <v>304</v>
      </c>
      <c r="B73" s="403">
        <v>182.3</v>
      </c>
      <c r="C73" s="386"/>
      <c r="D73" s="386"/>
      <c r="E73" s="386"/>
      <c r="F73" s="386"/>
      <c r="G73" s="386"/>
      <c r="H73" s="386"/>
      <c r="I73" s="387"/>
      <c r="J73" s="385"/>
      <c r="K73" s="386"/>
      <c r="L73" s="386"/>
      <c r="M73" s="386"/>
      <c r="N73" s="386"/>
      <c r="O73" s="475">
        <f>SUM(I72:N72)</f>
        <v>59029.17</v>
      </c>
      <c r="P73" s="307"/>
      <c r="Q73" s="525"/>
      <c r="R73" s="500"/>
      <c r="S73" s="453"/>
      <c r="T73" s="454"/>
      <c r="U73" s="453"/>
      <c r="V73" s="455"/>
      <c r="W73" s="453"/>
      <c r="X73" s="455"/>
      <c r="Y73" s="453"/>
      <c r="Z73" s="455"/>
      <c r="AA73" s="453"/>
      <c r="AB73" s="455"/>
      <c r="AC73" s="453"/>
      <c r="AD73" s="565"/>
      <c r="AE73" s="572"/>
      <c r="AF73" s="583"/>
      <c r="AG73" s="509"/>
      <c r="AH73" s="455"/>
      <c r="AI73" s="453"/>
      <c r="AJ73" s="455"/>
      <c r="AK73" s="453"/>
      <c r="AL73" s="455"/>
      <c r="AM73" s="453"/>
      <c r="AN73" s="455"/>
      <c r="AO73" s="507"/>
      <c r="AP73" s="609"/>
      <c r="AQ73" s="587"/>
      <c r="AR73" s="557"/>
      <c r="AS73" s="500"/>
      <c r="AT73" s="453"/>
      <c r="AU73" s="454"/>
      <c r="AV73" s="453"/>
      <c r="AW73" s="455"/>
      <c r="AX73" s="453"/>
      <c r="AY73" s="455"/>
      <c r="AZ73" s="453"/>
      <c r="BA73" s="455"/>
      <c r="BB73" s="453"/>
      <c r="BC73" s="455"/>
      <c r="BD73" s="453"/>
      <c r="BE73" s="455"/>
      <c r="BF73" s="453"/>
      <c r="BG73" s="455"/>
      <c r="BH73" s="453"/>
      <c r="BI73" s="455"/>
      <c r="BJ73" s="453"/>
      <c r="BK73" s="455"/>
      <c r="BL73" s="453"/>
      <c r="BM73" s="455"/>
      <c r="BN73" s="453"/>
      <c r="BO73" s="455"/>
      <c r="BP73" s="507"/>
      <c r="BQ73" s="609">
        <f>SUM(BQ25:BQ71)</f>
        <v>296960</v>
      </c>
      <c r="BR73" s="589">
        <f>BQ72-BQ73</f>
        <v>-43602</v>
      </c>
      <c r="BS73" s="590"/>
      <c r="BT73" s="546"/>
      <c r="BU73" s="497"/>
      <c r="BV73" s="453"/>
      <c r="BW73" s="454"/>
      <c r="BX73" s="453"/>
      <c r="BY73" s="455"/>
      <c r="BZ73" s="453"/>
      <c r="CA73" s="455"/>
      <c r="CB73" s="453"/>
      <c r="CC73" s="455"/>
      <c r="CD73" s="453"/>
      <c r="CE73" s="455"/>
      <c r="CF73" s="453"/>
      <c r="CG73" s="455"/>
      <c r="CH73" s="453"/>
      <c r="CI73" s="455"/>
      <c r="CJ73" s="453"/>
      <c r="CK73" s="455"/>
      <c r="CL73" s="453"/>
      <c r="CM73" s="455"/>
      <c r="CN73" s="453"/>
      <c r="CO73" s="455"/>
      <c r="CP73" s="453"/>
      <c r="CQ73" s="455"/>
      <c r="CR73" s="507"/>
      <c r="CS73" s="615"/>
    </row>
    <row r="74" spans="1:130">
      <c r="A74" s="484"/>
      <c r="B74" s="403"/>
      <c r="C74" s="386"/>
      <c r="D74" s="386"/>
      <c r="E74" s="386"/>
      <c r="F74" s="386"/>
      <c r="G74" s="386"/>
      <c r="H74" s="386"/>
      <c r="I74" s="387"/>
      <c r="J74" s="385"/>
      <c r="K74" s="386"/>
      <c r="L74" s="386"/>
      <c r="M74" s="386"/>
      <c r="N74" s="386"/>
      <c r="O74" s="485"/>
      <c r="P74" s="307"/>
      <c r="Q74" s="526" t="s">
        <v>320</v>
      </c>
      <c r="R74" s="443"/>
      <c r="S74" s="444"/>
      <c r="T74" s="445"/>
      <c r="U74" s="444"/>
      <c r="V74" s="445"/>
      <c r="W74" s="444"/>
      <c r="X74" s="445"/>
      <c r="Y74" s="444"/>
      <c r="Z74" s="445"/>
      <c r="AA74" s="444"/>
      <c r="AB74" s="445"/>
      <c r="AC74" s="444">
        <v>229</v>
      </c>
      <c r="AD74" s="567"/>
      <c r="AE74" s="574">
        <v>229</v>
      </c>
      <c r="AF74" s="585"/>
      <c r="AG74" s="443">
        <v>229</v>
      </c>
      <c r="AH74" s="445"/>
      <c r="AI74" s="444">
        <v>229</v>
      </c>
      <c r="AJ74" s="445"/>
      <c r="AK74" s="444">
        <v>229</v>
      </c>
      <c r="AL74" s="445"/>
      <c r="AM74" s="444">
        <v>229</v>
      </c>
      <c r="AN74" s="445"/>
      <c r="AO74" s="608">
        <v>229</v>
      </c>
      <c r="AP74" s="613"/>
      <c r="AQ74" s="588"/>
      <c r="AR74" s="558"/>
      <c r="AS74" s="443"/>
      <c r="AT74" s="444">
        <v>229</v>
      </c>
      <c r="AU74" s="445"/>
      <c r="AV74" s="444">
        <v>229</v>
      </c>
      <c r="AW74" s="445"/>
      <c r="AX74" s="444">
        <v>229</v>
      </c>
      <c r="AY74" s="445"/>
      <c r="AZ74" s="444">
        <v>229</v>
      </c>
      <c r="BA74" s="445"/>
      <c r="BB74" s="444">
        <v>229</v>
      </c>
      <c r="BC74" s="445"/>
      <c r="BD74" s="444">
        <f>229+208</f>
        <v>437</v>
      </c>
      <c r="BE74" s="445"/>
      <c r="BF74" s="444">
        <f>229+208</f>
        <v>437</v>
      </c>
      <c r="BG74" s="445"/>
      <c r="BH74" s="444">
        <f>229+208</f>
        <v>437</v>
      </c>
      <c r="BI74" s="445"/>
      <c r="BJ74" s="444">
        <f>229+208</f>
        <v>437</v>
      </c>
      <c r="BK74" s="445"/>
      <c r="BL74" s="444">
        <f>229+208</f>
        <v>437</v>
      </c>
      <c r="BM74" s="445"/>
      <c r="BN74" s="444">
        <f>229+208</f>
        <v>437</v>
      </c>
      <c r="BO74" s="445"/>
      <c r="BP74" s="608">
        <f>229+208</f>
        <v>437</v>
      </c>
      <c r="BQ74" s="613"/>
      <c r="BR74" s="591"/>
      <c r="BS74" s="592"/>
      <c r="BT74" s="547"/>
      <c r="BU74" s="443"/>
      <c r="BV74" s="444">
        <f>229+208</f>
        <v>437</v>
      </c>
      <c r="BW74" s="445"/>
      <c r="BX74" s="444">
        <f>229+208</f>
        <v>437</v>
      </c>
      <c r="BY74" s="445"/>
      <c r="BZ74" s="444">
        <f>229+208</f>
        <v>437</v>
      </c>
      <c r="CA74" s="445"/>
      <c r="CB74" s="444">
        <f>229+208</f>
        <v>437</v>
      </c>
      <c r="CC74" s="445"/>
      <c r="CD74" s="444">
        <f>229+208</f>
        <v>437</v>
      </c>
      <c r="CE74" s="445"/>
      <c r="CF74" s="444">
        <f>229+208</f>
        <v>437</v>
      </c>
      <c r="CG74" s="445"/>
      <c r="CH74" s="444">
        <f>229+208</f>
        <v>437</v>
      </c>
      <c r="CI74" s="445"/>
      <c r="CJ74" s="444">
        <f>229+208</f>
        <v>437</v>
      </c>
      <c r="CK74" s="445"/>
      <c r="CL74" s="444">
        <f>229+208</f>
        <v>437</v>
      </c>
      <c r="CM74" s="445"/>
      <c r="CN74" s="444">
        <f>229+208</f>
        <v>437</v>
      </c>
      <c r="CO74" s="445"/>
      <c r="CP74" s="444">
        <f>229+208</f>
        <v>437</v>
      </c>
      <c r="CQ74" s="445"/>
      <c r="CR74" s="608">
        <f>229+208</f>
        <v>437</v>
      </c>
      <c r="CS74" s="619">
        <f>229+208</f>
        <v>437</v>
      </c>
      <c r="CT74" s="486"/>
      <c r="CU74" s="486"/>
      <c r="CV74" s="486"/>
      <c r="CW74" s="486"/>
      <c r="CX74" s="486"/>
      <c r="CY74" s="486"/>
      <c r="CZ74" s="486"/>
      <c r="DA74" s="486"/>
      <c r="DB74" s="486"/>
      <c r="DC74" s="486"/>
      <c r="DD74" s="486"/>
      <c r="DE74" s="486"/>
      <c r="DF74" s="486"/>
      <c r="DG74" s="486"/>
      <c r="DH74" s="486"/>
      <c r="DI74" s="486"/>
      <c r="DJ74" s="486"/>
      <c r="DK74" s="486"/>
      <c r="DL74" s="486"/>
      <c r="DM74" s="486"/>
      <c r="DN74" s="486"/>
      <c r="DO74" s="486"/>
      <c r="DP74" s="486"/>
      <c r="DQ74" s="486"/>
      <c r="DR74" s="486"/>
      <c r="DS74" s="486"/>
      <c r="DT74" s="486"/>
      <c r="DU74" s="486"/>
      <c r="DV74" s="486"/>
      <c r="DW74" s="486"/>
      <c r="DX74" s="486"/>
      <c r="DY74" s="486"/>
      <c r="DZ74" s="486"/>
    </row>
    <row r="75" spans="1:130" ht="22.5" customHeight="1">
      <c r="A75" s="487" t="s">
        <v>305</v>
      </c>
      <c r="B75" s="386"/>
      <c r="C75" s="405">
        <f t="shared" ref="C75:N75" si="24">C24-C72</f>
        <v>0</v>
      </c>
      <c r="D75" s="403">
        <f t="shared" si="24"/>
        <v>0</v>
      </c>
      <c r="E75" s="403">
        <f t="shared" si="24"/>
        <v>0</v>
      </c>
      <c r="F75" s="403">
        <f t="shared" si="24"/>
        <v>0</v>
      </c>
      <c r="G75" s="403">
        <f t="shared" si="24"/>
        <v>0</v>
      </c>
      <c r="H75" s="406">
        <f>H24-H72</f>
        <v>0</v>
      </c>
      <c r="I75" s="387">
        <f>I24-I72</f>
        <v>650.03</v>
      </c>
      <c r="J75" s="383">
        <f>J24-J72</f>
        <v>5333.62</v>
      </c>
      <c r="K75" s="407">
        <f>K24-K72</f>
        <v>1839.25</v>
      </c>
      <c r="L75" s="406">
        <f t="shared" si="24"/>
        <v>-9223.5500000000011</v>
      </c>
      <c r="M75" s="408">
        <f t="shared" si="24"/>
        <v>-4390.9500000000007</v>
      </c>
      <c r="N75" s="408">
        <f t="shared" si="24"/>
        <v>7210.0499999999993</v>
      </c>
      <c r="O75" s="485"/>
      <c r="P75" s="411"/>
      <c r="Q75" s="526" t="s">
        <v>305</v>
      </c>
      <c r="R75" s="443"/>
      <c r="S75" s="446">
        <f>S24-S72</f>
        <v>-10124</v>
      </c>
      <c r="T75" s="447">
        <f>T24-T72</f>
        <v>-10973.380000000001</v>
      </c>
      <c r="U75" s="446">
        <f>U24-U72</f>
        <v>-5392</v>
      </c>
      <c r="V75" s="447">
        <f>V24-V72</f>
        <v>-8918.7099999999991</v>
      </c>
      <c r="W75" s="444">
        <f t="shared" ref="W75:AO75" si="25">W24-W72</f>
        <v>5270</v>
      </c>
      <c r="X75" s="445">
        <f>X24-X72</f>
        <v>0</v>
      </c>
      <c r="Y75" s="446">
        <f t="shared" si="25"/>
        <v>-5541</v>
      </c>
      <c r="Z75" s="445"/>
      <c r="AA75" s="444">
        <f t="shared" si="25"/>
        <v>6386</v>
      </c>
      <c r="AB75" s="445"/>
      <c r="AC75" s="444">
        <f t="shared" si="25"/>
        <v>8736</v>
      </c>
      <c r="AD75" s="567"/>
      <c r="AE75" s="575">
        <f t="shared" si="25"/>
        <v>-14867</v>
      </c>
      <c r="AF75" s="585"/>
      <c r="AG75" s="443">
        <f t="shared" si="25"/>
        <v>7618</v>
      </c>
      <c r="AH75" s="445"/>
      <c r="AI75" s="444">
        <f t="shared" si="25"/>
        <v>656</v>
      </c>
      <c r="AJ75" s="445"/>
      <c r="AK75" s="446">
        <f t="shared" si="25"/>
        <v>-8348</v>
      </c>
      <c r="AL75" s="445"/>
      <c r="AM75" s="444">
        <f t="shared" si="25"/>
        <v>3370</v>
      </c>
      <c r="AN75" s="445"/>
      <c r="AO75" s="608">
        <f t="shared" si="25"/>
        <v>7631</v>
      </c>
      <c r="AP75" s="613"/>
      <c r="AQ75" s="588"/>
      <c r="AR75" s="559" t="s">
        <v>305</v>
      </c>
      <c r="AS75" s="443"/>
      <c r="AT75" s="446">
        <f>AT24-AT72</f>
        <v>-18806</v>
      </c>
      <c r="AU75" s="445">
        <f t="shared" ref="AU75:AZ75" si="26">AU24-AU72</f>
        <v>0</v>
      </c>
      <c r="AV75" s="444">
        <f>AV24-AV72</f>
        <v>12290</v>
      </c>
      <c r="AW75" s="445">
        <f t="shared" si="26"/>
        <v>-5094</v>
      </c>
      <c r="AX75" s="444">
        <f t="shared" si="26"/>
        <v>5789</v>
      </c>
      <c r="AY75" s="445">
        <f t="shared" si="26"/>
        <v>-5094</v>
      </c>
      <c r="AZ75" s="446">
        <f t="shared" si="26"/>
        <v>-3904</v>
      </c>
      <c r="BA75" s="445"/>
      <c r="BB75" s="444">
        <f>BB24-BB72</f>
        <v>8864</v>
      </c>
      <c r="BC75" s="445"/>
      <c r="BD75" s="444">
        <f>BD24-BD72</f>
        <v>10202</v>
      </c>
      <c r="BE75" s="445"/>
      <c r="BF75" s="446">
        <f>BF24-BF72</f>
        <v>-14851</v>
      </c>
      <c r="BG75" s="445"/>
      <c r="BH75" s="444">
        <f>BH24-BH72</f>
        <v>3664</v>
      </c>
      <c r="BI75" s="445"/>
      <c r="BJ75" s="444">
        <f>BJ24-BJ72</f>
        <v>3514</v>
      </c>
      <c r="BK75" s="445"/>
      <c r="BL75" s="446">
        <f>BL24-BL72</f>
        <v>-8266</v>
      </c>
      <c r="BM75" s="445"/>
      <c r="BN75" s="444">
        <f>BN24-BN72</f>
        <v>2199</v>
      </c>
      <c r="BO75" s="445"/>
      <c r="BP75" s="608">
        <f>BP24-BP72</f>
        <v>2425</v>
      </c>
      <c r="BQ75" s="613"/>
      <c r="BR75" s="591"/>
      <c r="BS75" s="592"/>
      <c r="BT75" s="548" t="s">
        <v>305</v>
      </c>
      <c r="BU75" s="443"/>
      <c r="BV75" s="446">
        <f t="shared" ref="BV75:CB75" si="27">BV24-BV72</f>
        <v>-13513</v>
      </c>
      <c r="BW75" s="445">
        <f t="shared" si="27"/>
        <v>0</v>
      </c>
      <c r="BX75" s="444">
        <f t="shared" si="27"/>
        <v>9233</v>
      </c>
      <c r="BY75" s="445">
        <f t="shared" si="27"/>
        <v>0</v>
      </c>
      <c r="BZ75" s="444">
        <f t="shared" si="27"/>
        <v>4021</v>
      </c>
      <c r="CA75" s="445">
        <f t="shared" si="27"/>
        <v>0</v>
      </c>
      <c r="CB75" s="446">
        <f t="shared" si="27"/>
        <v>-8701</v>
      </c>
      <c r="CC75" s="445"/>
      <c r="CD75" s="444">
        <f>CD24-CD72</f>
        <v>3092</v>
      </c>
      <c r="CE75" s="445"/>
      <c r="CF75" s="444">
        <f>CF24-CF72</f>
        <v>15196</v>
      </c>
      <c r="CG75" s="445"/>
      <c r="CH75" s="446">
        <f>CH24-CH72</f>
        <v>-17368</v>
      </c>
      <c r="CI75" s="445"/>
      <c r="CJ75" s="444">
        <f>CJ24-CJ72</f>
        <v>7197</v>
      </c>
      <c r="CK75" s="445"/>
      <c r="CL75" s="444">
        <f>CL24-CL72</f>
        <v>7242</v>
      </c>
      <c r="CM75" s="445"/>
      <c r="CN75" s="446">
        <f>CN24-CN72</f>
        <v>-9041</v>
      </c>
      <c r="CO75" s="445"/>
      <c r="CP75" s="444">
        <f>CP24-CP72</f>
        <v>2936</v>
      </c>
      <c r="CQ75" s="445"/>
      <c r="CR75" s="608">
        <f>CR24-CR72</f>
        <v>2359</v>
      </c>
      <c r="CS75" s="619"/>
      <c r="CT75" s="486"/>
      <c r="CU75" s="486"/>
      <c r="CV75" s="486"/>
      <c r="CW75" s="486"/>
      <c r="CX75" s="486"/>
      <c r="CY75" s="486"/>
      <c r="CZ75" s="486"/>
      <c r="DA75" s="486"/>
      <c r="DB75" s="486"/>
      <c r="DC75" s="486"/>
      <c r="DD75" s="486"/>
      <c r="DE75" s="486"/>
      <c r="DF75" s="486"/>
      <c r="DG75" s="486"/>
      <c r="DH75" s="486"/>
      <c r="DI75" s="486"/>
      <c r="DJ75" s="486"/>
      <c r="DK75" s="486"/>
      <c r="DL75" s="486"/>
      <c r="DM75" s="486"/>
      <c r="DN75" s="486"/>
      <c r="DO75" s="486"/>
      <c r="DP75" s="486"/>
      <c r="DQ75" s="486"/>
      <c r="DR75" s="486"/>
      <c r="DS75" s="486"/>
      <c r="DT75" s="486"/>
      <c r="DU75" s="486"/>
      <c r="DV75" s="486"/>
      <c r="DW75" s="486"/>
      <c r="DX75" s="486"/>
      <c r="DY75" s="486"/>
      <c r="DZ75" s="486"/>
    </row>
    <row r="76" spans="1:130" ht="21.75" customHeight="1" thickBot="1">
      <c r="A76" s="487" t="s">
        <v>306</v>
      </c>
      <c r="B76" s="386"/>
      <c r="C76" s="405">
        <f>B73+C75</f>
        <v>182.3</v>
      </c>
      <c r="D76" s="405">
        <f t="shared" ref="D76:L76" si="28">C76+D75</f>
        <v>182.3</v>
      </c>
      <c r="E76" s="405">
        <f t="shared" si="28"/>
        <v>182.3</v>
      </c>
      <c r="F76" s="405">
        <f t="shared" si="28"/>
        <v>182.3</v>
      </c>
      <c r="G76" s="405">
        <f t="shared" si="28"/>
        <v>182.3</v>
      </c>
      <c r="H76" s="406">
        <f t="shared" si="28"/>
        <v>182.3</v>
      </c>
      <c r="I76" s="387">
        <f t="shared" si="28"/>
        <v>832.32999999999993</v>
      </c>
      <c r="J76" s="383">
        <f t="shared" si="28"/>
        <v>6165.95</v>
      </c>
      <c r="K76" s="407">
        <f t="shared" si="28"/>
        <v>8005.2</v>
      </c>
      <c r="L76" s="406">
        <f t="shared" si="28"/>
        <v>-1218.3500000000013</v>
      </c>
      <c r="M76" s="406">
        <f>L76+M75</f>
        <v>-5609.300000000002</v>
      </c>
      <c r="N76" s="408">
        <v>1214</v>
      </c>
      <c r="O76" s="485"/>
      <c r="P76" s="411"/>
      <c r="Q76" s="527" t="s">
        <v>307</v>
      </c>
      <c r="R76" s="501"/>
      <c r="S76" s="427">
        <f>S75+R77</f>
        <v>11090</v>
      </c>
      <c r="T76" s="428">
        <f>T75+R77</f>
        <v>10240.619999999999</v>
      </c>
      <c r="U76" s="427">
        <f>U75+T76</f>
        <v>4848.619999999999</v>
      </c>
      <c r="V76" s="428">
        <f>V75+T76</f>
        <v>1321.9099999999999</v>
      </c>
      <c r="W76" s="427">
        <f>V76+W75</f>
        <v>6591.91</v>
      </c>
      <c r="X76" s="428">
        <f>X75+V76</f>
        <v>1321.9099999999999</v>
      </c>
      <c r="Y76" s="427">
        <f>Y75+W76</f>
        <v>1050.9099999999999</v>
      </c>
      <c r="Z76" s="428"/>
      <c r="AA76" s="427">
        <f>AA75+Y76</f>
        <v>7436.91</v>
      </c>
      <c r="AB76" s="427"/>
      <c r="AC76" s="427">
        <f>AC75+AA76-AC74</f>
        <v>15943.91</v>
      </c>
      <c r="AD76" s="508"/>
      <c r="AE76" s="576">
        <f>AE75+AC76-AE74</f>
        <v>847.90999999999985</v>
      </c>
      <c r="AF76" s="586"/>
      <c r="AG76" s="501">
        <f>AG75+AE76-AG74</f>
        <v>8236.91</v>
      </c>
      <c r="AH76" s="427"/>
      <c r="AI76" s="429">
        <f>AI75+AG76-AI74</f>
        <v>8663.91</v>
      </c>
      <c r="AJ76" s="430"/>
      <c r="AK76" s="429">
        <f>AK75+AI76-AK74</f>
        <v>86.909999999999854</v>
      </c>
      <c r="AL76" s="429"/>
      <c r="AM76" s="429">
        <f>AM75+AK76-AM74</f>
        <v>3227.91</v>
      </c>
      <c r="AN76" s="427"/>
      <c r="AO76" s="508">
        <f>AO75+AM76-AO74</f>
        <v>10629.91</v>
      </c>
      <c r="AP76" s="614"/>
      <c r="AQ76" s="511"/>
      <c r="AR76" s="560" t="s">
        <v>307</v>
      </c>
      <c r="AS76" s="501"/>
      <c r="AT76" s="431">
        <f>AT75+AO76-AT74</f>
        <v>-8405.09</v>
      </c>
      <c r="AU76" s="428">
        <f>AU75+AO79</f>
        <v>0</v>
      </c>
      <c r="AV76" s="429">
        <f>AV75+AT76-AV74</f>
        <v>3655.91</v>
      </c>
      <c r="AW76" s="428">
        <f>AW75+AQ79</f>
        <v>-5094</v>
      </c>
      <c r="AX76" s="427">
        <f>AX75+AV76-AX74</f>
        <v>9215.91</v>
      </c>
      <c r="AY76" s="428">
        <f>AY75+AR79</f>
        <v>-5094</v>
      </c>
      <c r="AZ76" s="429">
        <f>AZ75+AX76-AZ74</f>
        <v>5082.91</v>
      </c>
      <c r="BA76" s="428"/>
      <c r="BB76" s="427">
        <f>BB75+AZ76-BB74</f>
        <v>13717.91</v>
      </c>
      <c r="BC76" s="428"/>
      <c r="BD76" s="427">
        <f>BD75+BB76-BD74</f>
        <v>23482.91</v>
      </c>
      <c r="BE76" s="428"/>
      <c r="BF76" s="427">
        <f>BF75+BD76-BF74</f>
        <v>8194.91</v>
      </c>
      <c r="BG76" s="428"/>
      <c r="BH76" s="427">
        <f>BH75+BF76-BH74</f>
        <v>11421.91</v>
      </c>
      <c r="BI76" s="428"/>
      <c r="BJ76" s="427">
        <f>BJ75+BH76-BJ74</f>
        <v>14498.91</v>
      </c>
      <c r="BK76" s="428"/>
      <c r="BL76" s="427">
        <f>BL75+BJ76-BL74</f>
        <v>5795.91</v>
      </c>
      <c r="BM76" s="428"/>
      <c r="BN76" s="427">
        <f>BN75+BL76-BN74</f>
        <v>7557.91</v>
      </c>
      <c r="BO76" s="428"/>
      <c r="BP76" s="508">
        <f>BP75+BN76-BP74</f>
        <v>9545.91</v>
      </c>
      <c r="BQ76" s="614"/>
      <c r="BR76" s="514"/>
      <c r="BS76" s="515"/>
      <c r="BT76" s="549" t="s">
        <v>307</v>
      </c>
      <c r="BU76" s="501"/>
      <c r="BV76" s="431">
        <f>BV75+BP76-BV74</f>
        <v>-4404.09</v>
      </c>
      <c r="BW76" s="428">
        <f>BW75+BQ79</f>
        <v>0</v>
      </c>
      <c r="BX76" s="429">
        <f>BX75+BV76-BX74</f>
        <v>4391.91</v>
      </c>
      <c r="BY76" s="428">
        <f>BY75+BS79</f>
        <v>0</v>
      </c>
      <c r="BZ76" s="427">
        <f>BZ75+BX76-BZ74</f>
        <v>7975.91</v>
      </c>
      <c r="CA76" s="428">
        <f>CA75+BT79</f>
        <v>0</v>
      </c>
      <c r="CB76" s="429">
        <f>CB75+BZ76-CB74</f>
        <v>-1162.0900000000001</v>
      </c>
      <c r="CC76" s="432"/>
      <c r="CD76" s="429">
        <f>CD75+CB76-CD74</f>
        <v>1492.9099999999999</v>
      </c>
      <c r="CE76" s="432"/>
      <c r="CF76" s="429">
        <f>CF75+CD76-CF74</f>
        <v>16251.91</v>
      </c>
      <c r="CG76" s="432"/>
      <c r="CH76" s="429">
        <f>CH75+CF76-CH74</f>
        <v>-1553.0900000000001</v>
      </c>
      <c r="CI76" s="432"/>
      <c r="CJ76" s="429">
        <f>CJ75+CH76-CJ74</f>
        <v>5206.91</v>
      </c>
      <c r="CK76" s="432"/>
      <c r="CL76" s="429">
        <f>CL75+CJ76-CL74</f>
        <v>12011.91</v>
      </c>
      <c r="CM76" s="432"/>
      <c r="CN76" s="429">
        <f>CN75+CL76-CN74</f>
        <v>2533.91</v>
      </c>
      <c r="CO76" s="432"/>
      <c r="CP76" s="429">
        <f>CP75+CN76-CP74</f>
        <v>5032.91</v>
      </c>
      <c r="CQ76" s="428"/>
      <c r="CR76" s="508">
        <f>CR75+CP76-CR74</f>
        <v>6954.91</v>
      </c>
      <c r="CS76" s="620"/>
      <c r="CT76" s="486"/>
      <c r="CU76" s="486"/>
      <c r="CV76" s="486"/>
      <c r="CW76" s="486"/>
      <c r="CX76" s="486"/>
      <c r="CY76" s="486"/>
      <c r="CZ76" s="486"/>
      <c r="DA76" s="486"/>
      <c r="DB76" s="486"/>
      <c r="DC76" s="486"/>
      <c r="DD76" s="486"/>
      <c r="DE76" s="486"/>
      <c r="DF76" s="486"/>
      <c r="DG76" s="486"/>
      <c r="DH76" s="486"/>
      <c r="DI76" s="486"/>
      <c r="DJ76" s="486"/>
      <c r="DK76" s="486"/>
      <c r="DL76" s="486"/>
      <c r="DM76" s="486"/>
      <c r="DN76" s="486"/>
      <c r="DO76" s="486"/>
      <c r="DP76" s="486"/>
      <c r="DQ76" s="486"/>
      <c r="DR76" s="486"/>
      <c r="DS76" s="486"/>
      <c r="DT76" s="486"/>
      <c r="DU76" s="486"/>
      <c r="DV76" s="486"/>
      <c r="DW76" s="486"/>
      <c r="DX76" s="486"/>
      <c r="DY76" s="486"/>
      <c r="DZ76" s="486"/>
    </row>
    <row r="77" spans="1:130" ht="25.5" thickTop="1" thickBot="1">
      <c r="A77" s="488" t="s">
        <v>308</v>
      </c>
      <c r="B77" s="386"/>
      <c r="C77" s="386"/>
      <c r="D77" s="386"/>
      <c r="E77" s="386"/>
      <c r="F77" s="386"/>
      <c r="G77" s="405"/>
      <c r="H77" s="408"/>
      <c r="I77" s="409"/>
      <c r="J77" s="408"/>
      <c r="K77" s="410">
        <v>20000</v>
      </c>
      <c r="L77" s="408"/>
      <c r="M77" s="408"/>
      <c r="N77" s="408"/>
      <c r="O77" s="424"/>
      <c r="Q77" s="528" t="s">
        <v>309</v>
      </c>
      <c r="R77" s="536">
        <v>21214</v>
      </c>
      <c r="T77" s="411"/>
      <c r="U77" s="411"/>
      <c r="V77" s="411"/>
      <c r="W77" s="411"/>
      <c r="X77" s="411"/>
      <c r="Y77" s="411" t="s">
        <v>216</v>
      </c>
      <c r="Z77" s="411"/>
      <c r="AA77" s="411"/>
      <c r="AB77" s="411"/>
      <c r="AC77" s="411"/>
      <c r="AD77" s="411"/>
      <c r="AE77" s="411"/>
      <c r="AF77" s="411"/>
      <c r="AG77" s="411"/>
      <c r="AH77" s="411"/>
      <c r="AI77" s="411"/>
      <c r="AJ77" s="411"/>
      <c r="AK77" s="411"/>
      <c r="AL77" s="411"/>
      <c r="AM77" s="411"/>
      <c r="AN77" s="411"/>
      <c r="AO77" s="411"/>
      <c r="AP77" s="412"/>
    </row>
    <row r="78" spans="1:130" ht="17.45" customHeight="1" thickTop="1" thickBot="1">
      <c r="A78" s="489" t="s">
        <v>310</v>
      </c>
      <c r="B78" s="394"/>
      <c r="C78" s="394"/>
      <c r="D78" s="394"/>
      <c r="E78" s="394"/>
      <c r="F78" s="394"/>
      <c r="G78" s="413"/>
      <c r="H78" s="414"/>
      <c r="I78" s="415"/>
      <c r="J78" s="414"/>
      <c r="K78" s="414"/>
      <c r="L78" s="414"/>
      <c r="M78" s="414"/>
      <c r="N78" s="414"/>
      <c r="O78" s="424"/>
      <c r="Q78" s="490"/>
      <c r="R78" s="412"/>
      <c r="S78" s="411"/>
      <c r="T78" s="411">
        <v>63960</v>
      </c>
      <c r="U78" s="416" t="s">
        <v>178</v>
      </c>
      <c r="V78" s="411"/>
      <c r="W78" s="411"/>
      <c r="X78" s="411"/>
      <c r="Y78" s="411"/>
      <c r="Z78" s="411"/>
      <c r="AA78" s="411"/>
      <c r="AB78" s="411"/>
      <c r="AC78" s="411"/>
      <c r="AD78" s="411"/>
      <c r="AE78" s="411"/>
      <c r="AF78" s="411"/>
      <c r="AG78" s="411"/>
      <c r="AH78" s="411"/>
      <c r="AI78" s="411"/>
      <c r="AJ78" s="411"/>
      <c r="AK78" s="411"/>
      <c r="AL78" s="411"/>
      <c r="AM78" s="411"/>
      <c r="AN78" s="411"/>
      <c r="AO78" s="411"/>
      <c r="AP78" s="412"/>
      <c r="BP78" s="140">
        <v>17000</v>
      </c>
      <c r="CM78" s="140" t="s">
        <v>235</v>
      </c>
      <c r="CR78" s="140" t="s">
        <v>216</v>
      </c>
    </row>
    <row r="79" spans="1:130" ht="14.25" customHeight="1" thickTop="1">
      <c r="A79" s="488" t="s">
        <v>311</v>
      </c>
      <c r="B79" s="386"/>
      <c r="C79" s="386"/>
      <c r="D79" s="386"/>
      <c r="E79" s="386"/>
      <c r="F79" s="386"/>
      <c r="G79" s="386"/>
      <c r="H79" s="417"/>
      <c r="I79" s="409">
        <f>I77+I76</f>
        <v>832.32999999999993</v>
      </c>
      <c r="J79" s="382">
        <f>I79+J75+J77+J78</f>
        <v>6165.95</v>
      </c>
      <c r="K79" s="418">
        <f>J79+K75+K77+K78</f>
        <v>28005.200000000001</v>
      </c>
      <c r="L79" s="382">
        <f>K79+L75+L77+L78</f>
        <v>18781.650000000001</v>
      </c>
      <c r="M79" s="382">
        <f>L79+M75+M78</f>
        <v>14390.7</v>
      </c>
      <c r="N79" s="419">
        <v>21214</v>
      </c>
      <c r="O79" s="425"/>
      <c r="Q79" s="529" t="s">
        <v>312</v>
      </c>
      <c r="R79" s="532">
        <v>10000</v>
      </c>
      <c r="T79" s="236">
        <f>65000/365*90</f>
        <v>16027.397260273972</v>
      </c>
      <c r="U79" s="420"/>
      <c r="V79" s="236"/>
      <c r="W79" s="236"/>
      <c r="X79" s="236"/>
      <c r="Y79" s="421"/>
      <c r="Z79" s="421"/>
      <c r="AA79" s="236"/>
      <c r="AB79" s="236"/>
      <c r="AC79" s="236"/>
      <c r="AD79" s="236"/>
      <c r="AE79" s="421"/>
      <c r="AF79" s="421"/>
      <c r="AG79" s="236"/>
      <c r="AH79" s="236"/>
      <c r="AI79" s="236"/>
      <c r="AJ79" s="236"/>
      <c r="AK79" s="421"/>
      <c r="AL79" s="421"/>
      <c r="AM79" s="236"/>
      <c r="AN79" s="236"/>
      <c r="AO79" s="236"/>
      <c r="AP79" s="412"/>
    </row>
    <row r="80" spans="1:130">
      <c r="Q80" s="530" t="s">
        <v>313</v>
      </c>
      <c r="R80" s="533" t="s">
        <v>314</v>
      </c>
      <c r="S80" s="426"/>
      <c r="T80" s="426"/>
      <c r="U80" s="426"/>
      <c r="V80" s="426"/>
      <c r="W80" s="426"/>
      <c r="X80" s="426"/>
      <c r="Y80" s="426"/>
      <c r="Z80" s="426"/>
      <c r="AA80" s="426"/>
      <c r="AB80" s="426"/>
      <c r="AC80" s="426"/>
      <c r="AD80" s="426"/>
      <c r="AE80" s="426"/>
      <c r="AF80" s="426"/>
      <c r="AG80" s="426"/>
      <c r="AH80" s="426"/>
      <c r="AI80" s="426">
        <v>2011</v>
      </c>
      <c r="AJ80" s="426">
        <v>1603</v>
      </c>
      <c r="AK80" s="426" t="s">
        <v>315</v>
      </c>
      <c r="AL80" s="426"/>
      <c r="AM80" s="426" t="s">
        <v>316</v>
      </c>
      <c r="AN80" s="426">
        <f>10000/60</f>
        <v>166.66666666666666</v>
      </c>
      <c r="AP80" s="491">
        <v>145</v>
      </c>
      <c r="AQ80" s="492" t="s">
        <v>317</v>
      </c>
    </row>
    <row r="81" spans="17:43" ht="15.75" thickBot="1">
      <c r="Q81" s="531" t="s">
        <v>318</v>
      </c>
      <c r="R81" s="534">
        <f>(R79/48)*1.1</f>
        <v>229.16666666666669</v>
      </c>
      <c r="S81" s="426"/>
      <c r="T81" s="426"/>
      <c r="U81" s="426"/>
      <c r="V81" s="426"/>
      <c r="W81" s="426"/>
      <c r="X81" s="426"/>
      <c r="Y81" s="426"/>
      <c r="Z81" s="426"/>
      <c r="AA81" s="426"/>
      <c r="AB81" s="426"/>
      <c r="AC81" s="426"/>
      <c r="AD81" s="426"/>
      <c r="AE81" s="426"/>
      <c r="AF81" s="426"/>
      <c r="AG81" s="426"/>
      <c r="AH81" s="426"/>
      <c r="AI81" s="426">
        <v>2012</v>
      </c>
      <c r="AJ81" s="426">
        <v>4204</v>
      </c>
      <c r="AK81" s="426" t="s">
        <v>315</v>
      </c>
      <c r="AL81" s="426"/>
      <c r="AM81" s="426" t="s">
        <v>316</v>
      </c>
      <c r="AN81" s="426">
        <f>25000/60</f>
        <v>416.66666666666669</v>
      </c>
      <c r="AO81" s="426"/>
      <c r="AP81" s="140">
        <f>20*12</f>
        <v>240</v>
      </c>
      <c r="AQ81" s="492">
        <v>2012</v>
      </c>
    </row>
    <row r="82" spans="17:43" ht="16.5" thickTop="1" thickBot="1">
      <c r="Q82" s="503"/>
      <c r="R82" s="535"/>
      <c r="S82" s="426"/>
      <c r="T82" s="426"/>
      <c r="U82" s="426"/>
      <c r="V82" s="426"/>
      <c r="W82" s="426"/>
      <c r="X82" s="426"/>
      <c r="Y82" s="426"/>
      <c r="Z82" s="426"/>
      <c r="AA82" s="426"/>
      <c r="AB82" s="426"/>
      <c r="AC82" s="426"/>
      <c r="AD82" s="426"/>
      <c r="AE82" s="426"/>
      <c r="AF82" s="426"/>
      <c r="AG82" s="426"/>
      <c r="AH82" s="426"/>
      <c r="AI82" s="426">
        <v>2013</v>
      </c>
      <c r="AJ82" s="426">
        <v>5244</v>
      </c>
      <c r="AK82" s="426" t="s">
        <v>315</v>
      </c>
      <c r="AL82" s="426"/>
      <c r="AM82" s="426" t="s">
        <v>316</v>
      </c>
      <c r="AN82" s="426">
        <f>25000/60</f>
        <v>416.66666666666669</v>
      </c>
      <c r="AO82" s="426"/>
      <c r="AP82" s="140">
        <f>20*12</f>
        <v>240</v>
      </c>
      <c r="AQ82" s="492">
        <v>2013</v>
      </c>
    </row>
    <row r="83" spans="17:43" ht="15.75" thickTop="1">
      <c r="Q83" s="529" t="s">
        <v>319</v>
      </c>
      <c r="R83" s="532">
        <v>10000</v>
      </c>
      <c r="S83" s="422"/>
      <c r="T83" s="422"/>
      <c r="U83" s="411"/>
      <c r="V83" s="422"/>
      <c r="W83" s="411"/>
      <c r="X83" s="422"/>
      <c r="Y83" s="422"/>
      <c r="Z83" s="422"/>
      <c r="AA83" s="411"/>
      <c r="AB83" s="411"/>
      <c r="AC83" s="411"/>
      <c r="AD83" s="411"/>
      <c r="AE83" s="422"/>
      <c r="AF83" s="422"/>
      <c r="AG83" s="411"/>
      <c r="AH83" s="411"/>
      <c r="AI83" s="411"/>
      <c r="AJ83" s="411"/>
      <c r="AK83" s="422"/>
      <c r="AL83" s="422"/>
      <c r="AM83" s="411"/>
      <c r="AN83" s="411"/>
      <c r="AO83" s="411"/>
      <c r="AP83" s="426"/>
    </row>
    <row r="84" spans="17:43">
      <c r="Q84" s="530" t="s">
        <v>313</v>
      </c>
      <c r="R84" s="533" t="s">
        <v>314</v>
      </c>
      <c r="S84" s="426"/>
      <c r="T84" s="426"/>
      <c r="U84" s="426"/>
      <c r="V84" s="426"/>
      <c r="W84" s="426"/>
      <c r="X84" s="426"/>
      <c r="Y84" s="426"/>
      <c r="Z84" s="426"/>
      <c r="AA84" s="426"/>
      <c r="AB84" s="426"/>
      <c r="AC84" s="426">
        <f>12500/5/12</f>
        <v>208.33333333333334</v>
      </c>
      <c r="AD84" s="426">
        <f>10000/5</f>
        <v>2000</v>
      </c>
      <c r="AE84" s="426">
        <f>AD84/12</f>
        <v>166.66666666666666</v>
      </c>
      <c r="AF84" s="426"/>
      <c r="AG84" s="426"/>
      <c r="AH84" s="426"/>
      <c r="AI84" s="426"/>
      <c r="AJ84" s="426"/>
      <c r="AK84" s="426"/>
      <c r="AL84" s="426"/>
      <c r="AM84" s="426"/>
      <c r="AN84" s="426"/>
      <c r="AO84" s="426"/>
      <c r="AP84" s="426"/>
    </row>
    <row r="85" spans="17:43" ht="15.75" thickBot="1">
      <c r="Q85" s="531" t="s">
        <v>318</v>
      </c>
      <c r="R85" s="534">
        <f>(R83/48)</f>
        <v>208.33333333333334</v>
      </c>
      <c r="AC85" s="140">
        <f>12500/5/12</f>
        <v>208.33333333333334</v>
      </c>
      <c r="AD85" s="140">
        <f>10000/5</f>
        <v>2000</v>
      </c>
      <c r="AE85" s="140">
        <f>AD85/12</f>
        <v>166.66666666666666</v>
      </c>
    </row>
    <row r="86" spans="17:43" ht="15.75" thickTop="1"/>
    <row r="87" spans="17:43">
      <c r="AC87" s="140">
        <f>AC84+AC85</f>
        <v>416.66666666666669</v>
      </c>
      <c r="AE87" s="140">
        <f>AE84+AE85</f>
        <v>333.33333333333331</v>
      </c>
      <c r="AI87" s="140">
        <f>AE87-437</f>
        <v>-103.66666666666669</v>
      </c>
    </row>
    <row r="88" spans="17:43">
      <c r="AI88" s="140">
        <f>AC87-437</f>
        <v>-20.333333333333314</v>
      </c>
    </row>
  </sheetData>
  <sheetProtection password="CDAE" sheet="1" selectLockedCells="1"/>
  <mergeCells count="53">
    <mergeCell ref="CP6:CP7"/>
    <mergeCell ref="CR6:CR7"/>
    <mergeCell ref="CS6:CS7"/>
    <mergeCell ref="BX6:BX7"/>
    <mergeCell ref="BZ6:BZ7"/>
    <mergeCell ref="CB6:CB7"/>
    <mergeCell ref="CD6:CD7"/>
    <mergeCell ref="CF6:CF7"/>
    <mergeCell ref="CH6:CH7"/>
    <mergeCell ref="CJ6:CJ7"/>
    <mergeCell ref="CL6:CL7"/>
    <mergeCell ref="CN6:CN7"/>
    <mergeCell ref="BV6:BV7"/>
    <mergeCell ref="BU6:BU7"/>
    <mergeCell ref="AX6:AX7"/>
    <mergeCell ref="AZ6:AZ7"/>
    <mergeCell ref="BB6:BB7"/>
    <mergeCell ref="BD6:BD7"/>
    <mergeCell ref="BF6:BF7"/>
    <mergeCell ref="BH6:BH7"/>
    <mergeCell ref="BJ6:BJ7"/>
    <mergeCell ref="BL6:BL7"/>
    <mergeCell ref="BN6:BN7"/>
    <mergeCell ref="BP6:BP7"/>
    <mergeCell ref="Q5:W5"/>
    <mergeCell ref="Y5:AE5"/>
    <mergeCell ref="X1:X5"/>
    <mergeCell ref="AR6:AR7"/>
    <mergeCell ref="R6:R7"/>
    <mergeCell ref="S6:S7"/>
    <mergeCell ref="U6:U7"/>
    <mergeCell ref="W6:W7"/>
    <mergeCell ref="AM6:AM7"/>
    <mergeCell ref="AO6:AO7"/>
    <mergeCell ref="AP6:AP7"/>
    <mergeCell ref="AQ6:AQ7"/>
    <mergeCell ref="Y1:AE1"/>
    <mergeCell ref="Y3:AE4"/>
    <mergeCell ref="Y2:AE2"/>
    <mergeCell ref="A6:O6"/>
    <mergeCell ref="BT6:BT7"/>
    <mergeCell ref="Y6:Y7"/>
    <mergeCell ref="AA6:AA7"/>
    <mergeCell ref="AC6:AC7"/>
    <mergeCell ref="AE6:AE7"/>
    <mergeCell ref="AG6:AG7"/>
    <mergeCell ref="AI6:AI7"/>
    <mergeCell ref="AK6:AK7"/>
    <mergeCell ref="Q6:Q7"/>
    <mergeCell ref="AT6:AT7"/>
    <mergeCell ref="AV6:AV7"/>
    <mergeCell ref="AS6:AS7"/>
    <mergeCell ref="BQ6:BQ7"/>
  </mergeCells>
  <pageMargins left="3.937007874015748E-2" right="3.937007874015748E-2" top="3.937007874015748E-2" bottom="3.937007874015748E-2" header="0" footer="0"/>
  <pageSetup paperSize="9" scale="85" orientation="landscape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S94"/>
  <sheetViews>
    <sheetView tabSelected="1" workbookViewId="0">
      <selection activeCell="E8" sqref="E8"/>
    </sheetView>
  </sheetViews>
  <sheetFormatPr baseColWidth="10" defaultColWidth="11.42578125" defaultRowHeight="15"/>
  <cols>
    <col min="1" max="1" width="50" style="492" customWidth="1"/>
    <col min="2" max="4" width="14.7109375" style="141" customWidth="1"/>
    <col min="5" max="10" width="14.7109375" style="148" customWidth="1"/>
    <col min="11" max="11" width="14.7109375" style="746" customWidth="1"/>
    <col min="12" max="14" width="14.7109375" style="148" customWidth="1"/>
    <col min="15" max="16384" width="11.42578125" style="141"/>
  </cols>
  <sheetData>
    <row r="1" spans="1:14" ht="21" customHeight="1" thickBot="1">
      <c r="A1" s="1288" t="s">
        <v>408</v>
      </c>
      <c r="B1" s="1289"/>
      <c r="C1" s="1289"/>
      <c r="D1" s="1289"/>
      <c r="E1" s="1289"/>
      <c r="F1" s="1289"/>
      <c r="G1" s="1290" t="s">
        <v>408</v>
      </c>
      <c r="H1" s="1288"/>
      <c r="I1" s="1288"/>
      <c r="J1" s="1288"/>
      <c r="K1" s="1288"/>
      <c r="L1" s="1288"/>
      <c r="M1" s="1288"/>
      <c r="N1" s="1288"/>
    </row>
    <row r="2" spans="1:14" ht="16.5" thickTop="1" thickBot="1">
      <c r="A2" s="621"/>
      <c r="B2" s="622"/>
      <c r="C2" s="623"/>
      <c r="D2" s="624" t="s">
        <v>409</v>
      </c>
      <c r="E2" s="625"/>
      <c r="F2" s="626"/>
      <c r="G2" s="626"/>
      <c r="H2" s="626"/>
      <c r="I2" s="626"/>
      <c r="J2" s="625"/>
      <c r="K2" s="627" t="s">
        <v>410</v>
      </c>
      <c r="L2" s="628"/>
      <c r="M2" s="625"/>
      <c r="N2" s="629" t="s">
        <v>411</v>
      </c>
    </row>
    <row r="3" spans="1:14" ht="63.75" customHeight="1" thickTop="1" thickBot="1">
      <c r="A3" s="630" t="s">
        <v>412</v>
      </c>
      <c r="B3" s="631" t="s">
        <v>413</v>
      </c>
      <c r="C3" s="632" t="s">
        <v>414</v>
      </c>
      <c r="D3" s="633" t="s">
        <v>415</v>
      </c>
      <c r="E3" s="634" t="s">
        <v>416</v>
      </c>
      <c r="F3" s="634" t="s">
        <v>417</v>
      </c>
      <c r="G3" s="634" t="s">
        <v>418</v>
      </c>
      <c r="H3" s="635" t="s">
        <v>46</v>
      </c>
      <c r="I3" s="635" t="s">
        <v>419</v>
      </c>
      <c r="J3" s="635" t="s">
        <v>420</v>
      </c>
      <c r="K3" s="636" t="s">
        <v>421</v>
      </c>
      <c r="L3" s="637" t="s">
        <v>422</v>
      </c>
      <c r="M3" s="635" t="s">
        <v>423</v>
      </c>
      <c r="N3" s="638" t="s">
        <v>424</v>
      </c>
    </row>
    <row r="4" spans="1:14" ht="17.25" customHeight="1" thickTop="1">
      <c r="A4" s="639" t="s">
        <v>425</v>
      </c>
      <c r="B4" s="640"/>
      <c r="C4" s="641"/>
      <c r="D4" s="642"/>
      <c r="E4" s="643"/>
      <c r="F4" s="643"/>
      <c r="G4" s="643"/>
      <c r="H4" s="644"/>
      <c r="I4" s="644"/>
      <c r="J4" s="644"/>
      <c r="K4" s="645"/>
      <c r="L4" s="646"/>
      <c r="M4" s="644"/>
      <c r="N4" s="647"/>
    </row>
    <row r="5" spans="1:14">
      <c r="A5" s="648" t="s">
        <v>426</v>
      </c>
      <c r="B5" s="649">
        <v>172.98</v>
      </c>
      <c r="C5" s="650"/>
      <c r="D5" s="651"/>
      <c r="E5" s="652">
        <f>308+42</f>
        <v>350</v>
      </c>
      <c r="F5" s="652"/>
      <c r="G5" s="652">
        <f>+E5+F5</f>
        <v>350</v>
      </c>
      <c r="H5" s="653">
        <v>3500</v>
      </c>
      <c r="I5" s="653">
        <f>H5/B5</f>
        <v>20.233553011908892</v>
      </c>
      <c r="J5" s="653">
        <f>H5-G5</f>
        <v>3150</v>
      </c>
      <c r="K5" s="654">
        <f>J5/H5</f>
        <v>0.9</v>
      </c>
      <c r="L5" s="655">
        <f>B5*13.82</f>
        <v>2390.5835999999999</v>
      </c>
      <c r="M5" s="653">
        <f>G5+L5</f>
        <v>2740.5835999999999</v>
      </c>
      <c r="N5" s="656">
        <f>H5-M5</f>
        <v>759.41640000000007</v>
      </c>
    </row>
    <row r="6" spans="1:14">
      <c r="A6" s="657" t="s">
        <v>427</v>
      </c>
      <c r="B6" s="649">
        <v>48.6</v>
      </c>
      <c r="C6" s="650"/>
      <c r="D6" s="651"/>
      <c r="E6" s="652">
        <v>0</v>
      </c>
      <c r="F6" s="652"/>
      <c r="G6" s="652">
        <f>+E6+F6</f>
        <v>0</v>
      </c>
      <c r="H6" s="653">
        <v>972</v>
      </c>
      <c r="I6" s="653">
        <f>H6/B6</f>
        <v>20</v>
      </c>
      <c r="J6" s="653">
        <f>H6-G6</f>
        <v>972</v>
      </c>
      <c r="K6" s="654">
        <f>J6/H6</f>
        <v>1</v>
      </c>
      <c r="L6" s="655">
        <f>B6*13.82</f>
        <v>671.65200000000004</v>
      </c>
      <c r="M6" s="653">
        <f>G6+L6</f>
        <v>671.65200000000004</v>
      </c>
      <c r="N6" s="656">
        <f>H6-M6</f>
        <v>300.34799999999996</v>
      </c>
    </row>
    <row r="7" spans="1:14">
      <c r="A7" s="657" t="s">
        <v>428</v>
      </c>
      <c r="B7" s="649">
        <v>87</v>
      </c>
      <c r="C7" s="650"/>
      <c r="D7" s="651"/>
      <c r="E7" s="652">
        <f>308+42</f>
        <v>350</v>
      </c>
      <c r="F7" s="652"/>
      <c r="G7" s="652">
        <f>+E7+F7</f>
        <v>350</v>
      </c>
      <c r="H7" s="653">
        <v>1230</v>
      </c>
      <c r="I7" s="658">
        <f>H7/B7</f>
        <v>14.137931034482758</v>
      </c>
      <c r="J7" s="653">
        <f>H7-G7</f>
        <v>880</v>
      </c>
      <c r="K7" s="654">
        <f>J7/H7</f>
        <v>0.71544715447154472</v>
      </c>
      <c r="L7" s="655">
        <f>B7*13.82</f>
        <v>1202.3399999999999</v>
      </c>
      <c r="M7" s="653">
        <f>G7+L7</f>
        <v>1552.34</v>
      </c>
      <c r="N7" s="656">
        <f>H7-M7</f>
        <v>-322.33999999999992</v>
      </c>
    </row>
    <row r="8" spans="1:14" s="666" customFormat="1" ht="16.5" customHeight="1" thickBot="1">
      <c r="A8" s="659" t="s">
        <v>429</v>
      </c>
      <c r="B8" s="660">
        <f>SUM(B5:B7)</f>
        <v>308.58</v>
      </c>
      <c r="C8" s="661">
        <v>300</v>
      </c>
      <c r="D8" s="662">
        <f>+B8/C8</f>
        <v>1.0286</v>
      </c>
      <c r="E8" s="663">
        <f t="shared" ref="E8:M8" si="0">SUM(E5:E7)</f>
        <v>700</v>
      </c>
      <c r="F8" s="663">
        <f t="shared" si="0"/>
        <v>0</v>
      </c>
      <c r="G8" s="663">
        <f t="shared" si="0"/>
        <v>700</v>
      </c>
      <c r="H8" s="663">
        <f t="shared" si="0"/>
        <v>5702</v>
      </c>
      <c r="I8" s="663"/>
      <c r="J8" s="663">
        <f t="shared" si="0"/>
        <v>5002</v>
      </c>
      <c r="K8" s="664">
        <f>J8/H8</f>
        <v>0.87723605752367595</v>
      </c>
      <c r="L8" s="663">
        <f t="shared" si="0"/>
        <v>4264.5756000000001</v>
      </c>
      <c r="M8" s="663">
        <f t="shared" si="0"/>
        <v>4964.5756000000001</v>
      </c>
      <c r="N8" s="665">
        <f>SUM(N5:N7)</f>
        <v>737.42440000000011</v>
      </c>
    </row>
    <row r="9" spans="1:14" ht="17.25" customHeight="1" thickTop="1">
      <c r="A9" s="667" t="s">
        <v>430</v>
      </c>
      <c r="B9" s="640"/>
      <c r="C9" s="668"/>
      <c r="D9" s="642"/>
      <c r="E9" s="643"/>
      <c r="F9" s="643"/>
      <c r="G9" s="643"/>
      <c r="H9" s="644"/>
      <c r="I9" s="644"/>
      <c r="J9" s="644"/>
      <c r="K9" s="645"/>
      <c r="L9" s="669"/>
      <c r="M9" s="669"/>
      <c r="N9" s="647"/>
    </row>
    <row r="10" spans="1:14">
      <c r="A10" s="657" t="s">
        <v>431</v>
      </c>
      <c r="B10" s="649">
        <v>124.8</v>
      </c>
      <c r="C10" s="670"/>
      <c r="D10" s="651"/>
      <c r="E10" s="652">
        <f>307.55+244+42</f>
        <v>593.54999999999995</v>
      </c>
      <c r="F10" s="652"/>
      <c r="G10" s="652">
        <f>+E10+F10</f>
        <v>593.54999999999995</v>
      </c>
      <c r="H10" s="653">
        <v>2600</v>
      </c>
      <c r="I10" s="653">
        <f>H10/B10</f>
        <v>20.833333333333332</v>
      </c>
      <c r="J10" s="653">
        <f>H10-G10</f>
        <v>2006.45</v>
      </c>
      <c r="K10" s="654">
        <f t="shared" ref="K10:K15" si="1">J10/H10</f>
        <v>0.7717115384615385</v>
      </c>
      <c r="L10" s="655">
        <f>B10*13.82</f>
        <v>1724.7360000000001</v>
      </c>
      <c r="M10" s="653">
        <f>G10+L10</f>
        <v>2318.2860000000001</v>
      </c>
      <c r="N10" s="656">
        <f>H10-M10</f>
        <v>281.71399999999994</v>
      </c>
    </row>
    <row r="11" spans="1:14">
      <c r="A11" s="657" t="s">
        <v>432</v>
      </c>
      <c r="B11" s="649">
        <v>93.6</v>
      </c>
      <c r="C11" s="670"/>
      <c r="D11" s="651"/>
      <c r="E11" s="652">
        <f>244+42</f>
        <v>286</v>
      </c>
      <c r="F11" s="652"/>
      <c r="G11" s="652">
        <f>+E11+F11</f>
        <v>286</v>
      </c>
      <c r="H11" s="653">
        <v>1917</v>
      </c>
      <c r="I11" s="653">
        <f>H11/B11</f>
        <v>20.480769230769234</v>
      </c>
      <c r="J11" s="653">
        <f>H11-G11</f>
        <v>1631</v>
      </c>
      <c r="K11" s="654">
        <f t="shared" si="1"/>
        <v>0.85080855503390718</v>
      </c>
      <c r="L11" s="655">
        <f>B11*13.82</f>
        <v>1293.5519999999999</v>
      </c>
      <c r="M11" s="653">
        <f>G11+L11</f>
        <v>1579.5519999999999</v>
      </c>
      <c r="N11" s="656">
        <f>H11-M11</f>
        <v>337.44800000000009</v>
      </c>
    </row>
    <row r="12" spans="1:14">
      <c r="A12" s="657" t="s">
        <v>433</v>
      </c>
      <c r="B12" s="649">
        <f>20.8+72.8</f>
        <v>93.6</v>
      </c>
      <c r="C12" s="670"/>
      <c r="D12" s="651"/>
      <c r="E12" s="652">
        <v>244</v>
      </c>
      <c r="F12" s="652">
        <f>49.97+109.59</f>
        <v>159.56</v>
      </c>
      <c r="G12" s="652">
        <f>+E12+F12</f>
        <v>403.56</v>
      </c>
      <c r="H12" s="653">
        <v>2178</v>
      </c>
      <c r="I12" s="653">
        <f>H12/B12</f>
        <v>23.26923076923077</v>
      </c>
      <c r="J12" s="653">
        <f>H12-G12</f>
        <v>1774.44</v>
      </c>
      <c r="K12" s="654">
        <f t="shared" si="1"/>
        <v>0.81471074380165287</v>
      </c>
      <c r="L12" s="655">
        <f>B12*13.82</f>
        <v>1293.5519999999999</v>
      </c>
      <c r="M12" s="653">
        <f>G12+L12</f>
        <v>1697.1119999999999</v>
      </c>
      <c r="N12" s="656">
        <f>H12-M12</f>
        <v>480.88800000000015</v>
      </c>
    </row>
    <row r="13" spans="1:14">
      <c r="A13" s="657" t="s">
        <v>434</v>
      </c>
      <c r="B13" s="649">
        <f>31.2+67.6</f>
        <v>98.8</v>
      </c>
      <c r="C13" s="670"/>
      <c r="D13" s="651"/>
      <c r="E13" s="652">
        <f>244+217.49</f>
        <v>461.49</v>
      </c>
      <c r="F13" s="652"/>
      <c r="G13" s="652">
        <f>+E13+F13</f>
        <v>461.49</v>
      </c>
      <c r="H13" s="653">
        <v>2450</v>
      </c>
      <c r="I13" s="653">
        <f>H13/B13</f>
        <v>24.79757085020243</v>
      </c>
      <c r="J13" s="653">
        <f>H13-G13</f>
        <v>1988.51</v>
      </c>
      <c r="K13" s="654">
        <f t="shared" si="1"/>
        <v>0.81163673469387754</v>
      </c>
      <c r="L13" s="655">
        <f>B13*13.82</f>
        <v>1365.4159999999999</v>
      </c>
      <c r="M13" s="653">
        <f>G13+L13</f>
        <v>1826.9059999999999</v>
      </c>
      <c r="N13" s="656">
        <f>H13-M13</f>
        <v>623.09400000000005</v>
      </c>
    </row>
    <row r="14" spans="1:14">
      <c r="A14" s="657" t="s">
        <v>435</v>
      </c>
      <c r="B14" s="649">
        <f>98.8+26</f>
        <v>124.8</v>
      </c>
      <c r="C14" s="670"/>
      <c r="D14" s="651"/>
      <c r="E14" s="652"/>
      <c r="F14" s="652"/>
      <c r="G14" s="652">
        <f>+E14+F14</f>
        <v>0</v>
      </c>
      <c r="H14" s="653">
        <v>2500</v>
      </c>
      <c r="I14" s="653">
        <f>H14/B14</f>
        <v>20.032051282051281</v>
      </c>
      <c r="J14" s="653">
        <f>H14-G14</f>
        <v>2500</v>
      </c>
      <c r="K14" s="654">
        <f t="shared" si="1"/>
        <v>1</v>
      </c>
      <c r="L14" s="655">
        <f>B14*13.82</f>
        <v>1724.7360000000001</v>
      </c>
      <c r="M14" s="653">
        <f>G14+L14</f>
        <v>1724.7360000000001</v>
      </c>
      <c r="N14" s="656">
        <f>H14-M14</f>
        <v>775.2639999999999</v>
      </c>
    </row>
    <row r="15" spans="1:14" s="666" customFormat="1" ht="16.5" customHeight="1" thickBot="1">
      <c r="A15" s="659" t="s">
        <v>429</v>
      </c>
      <c r="B15" s="660">
        <f>SUM(B10:B14)</f>
        <v>535.6</v>
      </c>
      <c r="C15" s="661">
        <v>300</v>
      </c>
      <c r="D15" s="662">
        <f>+B15/C15</f>
        <v>1.7853333333333334</v>
      </c>
      <c r="E15" s="671">
        <f t="shared" ref="E15:N15" si="2">SUM(E10:E14)</f>
        <v>1585.04</v>
      </c>
      <c r="F15" s="672">
        <f t="shared" si="2"/>
        <v>159.56</v>
      </c>
      <c r="G15" s="672">
        <f t="shared" si="2"/>
        <v>1744.6</v>
      </c>
      <c r="H15" s="671">
        <f t="shared" si="2"/>
        <v>11645</v>
      </c>
      <c r="I15" s="671"/>
      <c r="J15" s="671">
        <f t="shared" si="2"/>
        <v>9900.4</v>
      </c>
      <c r="K15" s="673">
        <f t="shared" si="1"/>
        <v>0.85018462859596389</v>
      </c>
      <c r="L15" s="671">
        <f t="shared" si="2"/>
        <v>7401.9920000000002</v>
      </c>
      <c r="M15" s="671">
        <f t="shared" si="2"/>
        <v>9146.5920000000006</v>
      </c>
      <c r="N15" s="674">
        <f t="shared" si="2"/>
        <v>2498.4080000000004</v>
      </c>
    </row>
    <row r="16" spans="1:14" ht="17.25" customHeight="1" thickTop="1">
      <c r="A16" s="667" t="s">
        <v>436</v>
      </c>
      <c r="B16" s="640"/>
      <c r="C16" s="668"/>
      <c r="D16" s="642"/>
      <c r="E16" s="643"/>
      <c r="F16" s="643"/>
      <c r="G16" s="643"/>
      <c r="H16" s="644"/>
      <c r="I16" s="644"/>
      <c r="J16" s="644"/>
      <c r="K16" s="645"/>
      <c r="L16" s="669"/>
      <c r="M16" s="669"/>
      <c r="N16" s="647"/>
    </row>
    <row r="17" spans="1:14">
      <c r="A17" s="657" t="s">
        <v>437</v>
      </c>
      <c r="B17" s="649">
        <f>41.6+109.2</f>
        <v>150.80000000000001</v>
      </c>
      <c r="C17" s="670"/>
      <c r="D17" s="651"/>
      <c r="E17" s="652">
        <v>92.45</v>
      </c>
      <c r="F17" s="652">
        <v>54.11</v>
      </c>
      <c r="G17" s="652">
        <f>+E17+F17</f>
        <v>146.56</v>
      </c>
      <c r="H17" s="653">
        <v>2749</v>
      </c>
      <c r="I17" s="653">
        <f>H17/B17</f>
        <v>18.22944297082228</v>
      </c>
      <c r="J17" s="653">
        <f>H17-G17</f>
        <v>2602.44</v>
      </c>
      <c r="K17" s="654">
        <f t="shared" ref="K17:K22" si="3">J17/H17</f>
        <v>0.94668606766096763</v>
      </c>
      <c r="L17" s="655">
        <f>B17*13.82</f>
        <v>2084.056</v>
      </c>
      <c r="M17" s="653">
        <f>G17+L17</f>
        <v>2230.616</v>
      </c>
      <c r="N17" s="656">
        <f>H17-M17</f>
        <v>518.38400000000001</v>
      </c>
    </row>
    <row r="18" spans="1:14">
      <c r="A18" s="657" t="s">
        <v>438</v>
      </c>
      <c r="B18" s="649">
        <f>26+93.6</f>
        <v>119.6</v>
      </c>
      <c r="C18" s="670"/>
      <c r="D18" s="651"/>
      <c r="E18" s="652"/>
      <c r="F18" s="652"/>
      <c r="G18" s="652">
        <f>+E18+F18</f>
        <v>0</v>
      </c>
      <c r="H18" s="653">
        <v>2900</v>
      </c>
      <c r="I18" s="653">
        <f>H18/B18</f>
        <v>24.247491638795989</v>
      </c>
      <c r="J18" s="653">
        <f>H18-G18</f>
        <v>2900</v>
      </c>
      <c r="K18" s="654">
        <f t="shared" si="3"/>
        <v>1</v>
      </c>
      <c r="L18" s="655">
        <f>B18*13.82</f>
        <v>1652.8719999999998</v>
      </c>
      <c r="M18" s="653">
        <f>G18+L18</f>
        <v>1652.8719999999998</v>
      </c>
      <c r="N18" s="656">
        <f>H18-M18</f>
        <v>1247.1280000000002</v>
      </c>
    </row>
    <row r="19" spans="1:14">
      <c r="A19" s="657" t="s">
        <v>439</v>
      </c>
      <c r="B19" s="649">
        <f>36.4+93.6</f>
        <v>130</v>
      </c>
      <c r="C19" s="670"/>
      <c r="D19" s="651"/>
      <c r="E19" s="652">
        <v>230</v>
      </c>
      <c r="F19" s="652"/>
      <c r="G19" s="652">
        <f>+E19+F19</f>
        <v>230</v>
      </c>
      <c r="H19" s="653">
        <v>1596.4</v>
      </c>
      <c r="I19" s="658">
        <f>H19/B19</f>
        <v>12.280000000000001</v>
      </c>
      <c r="J19" s="653">
        <f>H19-G19</f>
        <v>1366.4</v>
      </c>
      <c r="K19" s="654">
        <f t="shared" si="3"/>
        <v>0.85592583312453019</v>
      </c>
      <c r="L19" s="655">
        <f>B19*13.82</f>
        <v>1796.6000000000001</v>
      </c>
      <c r="M19" s="653">
        <f>G19+L19</f>
        <v>2026.6000000000001</v>
      </c>
      <c r="N19" s="656">
        <f>H19-M19</f>
        <v>-430.20000000000005</v>
      </c>
    </row>
    <row r="20" spans="1:14">
      <c r="A20" s="657" t="s">
        <v>440</v>
      </c>
      <c r="B20" s="649">
        <f>150.8+52</f>
        <v>202.8</v>
      </c>
      <c r="C20" s="670"/>
      <c r="D20" s="651"/>
      <c r="E20" s="652">
        <v>335.5</v>
      </c>
      <c r="F20" s="652">
        <f>108.45+77.36+59.1+297.16</f>
        <v>542.07000000000005</v>
      </c>
      <c r="G20" s="652">
        <f>+E20+F20</f>
        <v>877.57</v>
      </c>
      <c r="H20" s="653">
        <v>5843</v>
      </c>
      <c r="I20" s="653">
        <f>H20/B20</f>
        <v>28.811637080867847</v>
      </c>
      <c r="J20" s="653">
        <f>H20-G20</f>
        <v>4965.43</v>
      </c>
      <c r="K20" s="654">
        <f t="shared" si="3"/>
        <v>0.84980831764504539</v>
      </c>
      <c r="L20" s="655">
        <f>B20*13.82</f>
        <v>2802.6960000000004</v>
      </c>
      <c r="M20" s="653">
        <f>G20+L20</f>
        <v>3680.2660000000005</v>
      </c>
      <c r="N20" s="656">
        <f>H20-M20</f>
        <v>2162.7339999999995</v>
      </c>
    </row>
    <row r="21" spans="1:14">
      <c r="A21" s="657" t="s">
        <v>441</v>
      </c>
      <c r="B21" s="649">
        <v>10.4</v>
      </c>
      <c r="C21" s="670"/>
      <c r="D21" s="651"/>
      <c r="E21" s="652"/>
      <c r="F21" s="652"/>
      <c r="G21" s="652">
        <f>+E21+F21</f>
        <v>0</v>
      </c>
      <c r="H21" s="653">
        <v>260</v>
      </c>
      <c r="I21" s="653">
        <f>H21/B21</f>
        <v>25</v>
      </c>
      <c r="J21" s="653">
        <f>H21-G21</f>
        <v>260</v>
      </c>
      <c r="K21" s="654">
        <f t="shared" si="3"/>
        <v>1</v>
      </c>
      <c r="L21" s="655">
        <f>B21*13.82</f>
        <v>143.72800000000001</v>
      </c>
      <c r="M21" s="653">
        <f>G21+L21</f>
        <v>143.72800000000001</v>
      </c>
      <c r="N21" s="656">
        <f>H21-M21</f>
        <v>116.27199999999999</v>
      </c>
    </row>
    <row r="22" spans="1:14" s="666" customFormat="1" ht="16.5" customHeight="1" thickBot="1">
      <c r="A22" s="659" t="s">
        <v>429</v>
      </c>
      <c r="B22" s="660">
        <f>SUM(B17:B21)</f>
        <v>613.6</v>
      </c>
      <c r="C22" s="661">
        <v>300</v>
      </c>
      <c r="D22" s="662">
        <f>+B22/C22</f>
        <v>2.0453333333333332</v>
      </c>
      <c r="E22" s="671">
        <f t="shared" ref="E22:J22" si="4">SUM(E17:E21)</f>
        <v>657.95</v>
      </c>
      <c r="F22" s="672">
        <f t="shared" si="4"/>
        <v>596.18000000000006</v>
      </c>
      <c r="G22" s="672">
        <f t="shared" si="4"/>
        <v>1254.1300000000001</v>
      </c>
      <c r="H22" s="671">
        <f t="shared" si="4"/>
        <v>13348.4</v>
      </c>
      <c r="I22" s="671"/>
      <c r="J22" s="671">
        <f t="shared" si="4"/>
        <v>12094.27</v>
      </c>
      <c r="K22" s="673">
        <f t="shared" si="3"/>
        <v>0.90604641754817061</v>
      </c>
      <c r="L22" s="671">
        <f>SUM(L17:L21)</f>
        <v>8479.9519999999993</v>
      </c>
      <c r="M22" s="671">
        <f>SUM(M17:M21)</f>
        <v>9734.0819999999985</v>
      </c>
      <c r="N22" s="674">
        <f>SUM(N17:N21)</f>
        <v>3614.3179999999993</v>
      </c>
    </row>
    <row r="23" spans="1:14" ht="17.25" customHeight="1" thickTop="1">
      <c r="A23" s="667" t="s">
        <v>442</v>
      </c>
      <c r="B23" s="640"/>
      <c r="C23" s="668"/>
      <c r="D23" s="642"/>
      <c r="E23" s="643"/>
      <c r="F23" s="643"/>
      <c r="G23" s="643"/>
      <c r="H23" s="644"/>
      <c r="I23" s="644"/>
      <c r="J23" s="644"/>
      <c r="K23" s="645"/>
      <c r="L23" s="669"/>
      <c r="M23" s="669"/>
      <c r="N23" s="647"/>
    </row>
    <row r="24" spans="1:14">
      <c r="A24" s="657" t="s">
        <v>443</v>
      </c>
      <c r="B24" s="649">
        <v>146</v>
      </c>
      <c r="C24" s="670"/>
      <c r="D24" s="651"/>
      <c r="E24" s="652"/>
      <c r="F24" s="652"/>
      <c r="G24" s="652">
        <f>+E24+F24</f>
        <v>0</v>
      </c>
      <c r="H24" s="653">
        <v>1600</v>
      </c>
      <c r="I24" s="658">
        <f>H24/B24</f>
        <v>10.95890410958904</v>
      </c>
      <c r="J24" s="653">
        <f>H24-G24</f>
        <v>1600</v>
      </c>
      <c r="K24" s="654">
        <f>J24/H24</f>
        <v>1</v>
      </c>
      <c r="L24" s="655">
        <f>B24*13.82</f>
        <v>2017.72</v>
      </c>
      <c r="M24" s="653">
        <f>G24+L24</f>
        <v>2017.72</v>
      </c>
      <c r="N24" s="656">
        <f>H24-M24</f>
        <v>-417.72</v>
      </c>
    </row>
    <row r="25" spans="1:14">
      <c r="A25" s="657" t="s">
        <v>444</v>
      </c>
      <c r="B25" s="649">
        <v>109</v>
      </c>
      <c r="C25" s="670"/>
      <c r="D25" s="651"/>
      <c r="E25" s="652"/>
      <c r="F25" s="652"/>
      <c r="G25" s="652">
        <f>+E25+F25</f>
        <v>0</v>
      </c>
      <c r="H25" s="653">
        <v>2625</v>
      </c>
      <c r="I25" s="653">
        <f>H25/B25</f>
        <v>24.082568807339449</v>
      </c>
      <c r="J25" s="653">
        <f>H25-G25</f>
        <v>2625</v>
      </c>
      <c r="K25" s="654">
        <f>J25/H25</f>
        <v>1</v>
      </c>
      <c r="L25" s="655">
        <f>B25*13.82</f>
        <v>1506.38</v>
      </c>
      <c r="M25" s="653">
        <f>G25+L25</f>
        <v>1506.38</v>
      </c>
      <c r="N25" s="656">
        <f>H25-M25</f>
        <v>1118.6199999999999</v>
      </c>
    </row>
    <row r="26" spans="1:14" s="666" customFormat="1" ht="16.5" customHeight="1" thickBot="1">
      <c r="A26" s="659" t="s">
        <v>429</v>
      </c>
      <c r="B26" s="660">
        <f>SUM(B24:B25)</f>
        <v>255</v>
      </c>
      <c r="C26" s="661">
        <v>300</v>
      </c>
      <c r="D26" s="662">
        <f>+B26/C26</f>
        <v>0.85</v>
      </c>
      <c r="E26" s="671">
        <f t="shared" ref="E26:N26" si="5">SUM(E24:E25)</f>
        <v>0</v>
      </c>
      <c r="F26" s="672">
        <f t="shared" si="5"/>
        <v>0</v>
      </c>
      <c r="G26" s="672">
        <f t="shared" si="5"/>
        <v>0</v>
      </c>
      <c r="H26" s="671">
        <f t="shared" si="5"/>
        <v>4225</v>
      </c>
      <c r="I26" s="671"/>
      <c r="J26" s="671">
        <f t="shared" si="5"/>
        <v>4225</v>
      </c>
      <c r="K26" s="673">
        <f>J26/H26</f>
        <v>1</v>
      </c>
      <c r="L26" s="671">
        <f t="shared" si="5"/>
        <v>3524.1000000000004</v>
      </c>
      <c r="M26" s="671">
        <f t="shared" si="5"/>
        <v>3524.1000000000004</v>
      </c>
      <c r="N26" s="674">
        <f t="shared" si="5"/>
        <v>700.89999999999986</v>
      </c>
    </row>
    <row r="27" spans="1:14" ht="17.25" customHeight="1" thickTop="1">
      <c r="A27" s="667" t="s">
        <v>445</v>
      </c>
      <c r="B27" s="640"/>
      <c r="C27" s="668"/>
      <c r="D27" s="642"/>
      <c r="E27" s="643"/>
      <c r="F27" s="643"/>
      <c r="G27" s="643"/>
      <c r="H27" s="644"/>
      <c r="I27" s="644"/>
      <c r="J27" s="644"/>
      <c r="K27" s="645"/>
      <c r="L27" s="669"/>
      <c r="M27" s="669"/>
      <c r="N27" s="647"/>
    </row>
    <row r="28" spans="1:14">
      <c r="A28" s="657" t="s">
        <v>446</v>
      </c>
      <c r="B28" s="649">
        <f>182+67.6</f>
        <v>249.6</v>
      </c>
      <c r="C28" s="670"/>
      <c r="D28" s="651"/>
      <c r="E28" s="652">
        <f>94.19+231.8+268.96</f>
        <v>594.95000000000005</v>
      </c>
      <c r="F28" s="652"/>
      <c r="G28" s="652">
        <f>+E28+F28</f>
        <v>594.95000000000005</v>
      </c>
      <c r="H28" s="653">
        <v>0</v>
      </c>
      <c r="I28" s="653">
        <f>H28/B28</f>
        <v>0</v>
      </c>
      <c r="J28" s="653">
        <f>H28-G28</f>
        <v>-594.95000000000005</v>
      </c>
      <c r="K28" s="654"/>
      <c r="L28" s="655">
        <f>B28*13.82</f>
        <v>3449.4720000000002</v>
      </c>
      <c r="M28" s="653">
        <f>G28+L28</f>
        <v>4044.4220000000005</v>
      </c>
      <c r="N28" s="656">
        <f>H28-M28</f>
        <v>-4044.4220000000005</v>
      </c>
    </row>
    <row r="29" spans="1:14">
      <c r="A29" s="657" t="s">
        <v>447</v>
      </c>
      <c r="B29" s="649">
        <v>31.2</v>
      </c>
      <c r="C29" s="670"/>
      <c r="D29" s="651"/>
      <c r="E29" s="652">
        <v>0</v>
      </c>
      <c r="F29" s="652"/>
      <c r="G29" s="652">
        <f>+E29+F29</f>
        <v>0</v>
      </c>
      <c r="H29" s="653">
        <v>380</v>
      </c>
      <c r="I29" s="658">
        <f>H29/B29</f>
        <v>12.179487179487181</v>
      </c>
      <c r="J29" s="653">
        <f>H29-G29</f>
        <v>380</v>
      </c>
      <c r="K29" s="654">
        <f>J29/H29</f>
        <v>1</v>
      </c>
      <c r="L29" s="655">
        <f>B29*13.82</f>
        <v>431.18400000000003</v>
      </c>
      <c r="M29" s="653">
        <f>G29+L29</f>
        <v>431.18400000000003</v>
      </c>
      <c r="N29" s="656">
        <f>H29-M29</f>
        <v>-51.184000000000026</v>
      </c>
    </row>
    <row r="30" spans="1:14" s="666" customFormat="1" ht="16.5" customHeight="1">
      <c r="A30" s="657" t="s">
        <v>448</v>
      </c>
      <c r="B30" s="675">
        <v>241</v>
      </c>
      <c r="C30" s="670"/>
      <c r="D30" s="654"/>
      <c r="E30" s="676">
        <v>331.6</v>
      </c>
      <c r="F30" s="676">
        <f>167.44+40.38</f>
        <v>207.82</v>
      </c>
      <c r="G30" s="652">
        <f>+E30+F30</f>
        <v>539.42000000000007</v>
      </c>
      <c r="H30" s="653">
        <v>2800</v>
      </c>
      <c r="I30" s="658">
        <f>H30/B30</f>
        <v>11.618257261410788</v>
      </c>
      <c r="J30" s="653">
        <f>H30-G30</f>
        <v>2260.58</v>
      </c>
      <c r="K30" s="677">
        <f>J30/H30</f>
        <v>0.80735000000000001</v>
      </c>
      <c r="L30" s="655">
        <f>B30*13.82</f>
        <v>3330.62</v>
      </c>
      <c r="M30" s="653">
        <f>G30+L30</f>
        <v>3870.04</v>
      </c>
      <c r="N30" s="656">
        <f>H30-M30</f>
        <v>-1070.04</v>
      </c>
    </row>
    <row r="31" spans="1:14" s="666" customFormat="1" ht="22.5" customHeight="1" thickBot="1">
      <c r="A31" s="659" t="s">
        <v>429</v>
      </c>
      <c r="B31" s="678">
        <f>SUM(B28:B30)</f>
        <v>521.79999999999995</v>
      </c>
      <c r="C31" s="679">
        <v>300</v>
      </c>
      <c r="D31" s="662">
        <f>+B31/C31</f>
        <v>1.7393333333333332</v>
      </c>
      <c r="E31" s="680">
        <f t="shared" ref="E31:M31" si="6">SUM(E28:E30)</f>
        <v>926.55000000000007</v>
      </c>
      <c r="F31" s="681">
        <f t="shared" si="6"/>
        <v>207.82</v>
      </c>
      <c r="G31" s="682">
        <f>+E31+F31</f>
        <v>1134.3700000000001</v>
      </c>
      <c r="H31" s="680">
        <f t="shared" si="6"/>
        <v>3180</v>
      </c>
      <c r="I31" s="680"/>
      <c r="J31" s="680">
        <f t="shared" si="6"/>
        <v>2045.6299999999999</v>
      </c>
      <c r="K31" s="683">
        <f>J31/H31</f>
        <v>0.64327987421383648</v>
      </c>
      <c r="L31" s="680">
        <f t="shared" si="6"/>
        <v>7211.2759999999998</v>
      </c>
      <c r="M31" s="680">
        <f t="shared" si="6"/>
        <v>8345.6460000000006</v>
      </c>
      <c r="N31" s="684">
        <f>SUM(N28:N30)</f>
        <v>-5165.6460000000006</v>
      </c>
    </row>
    <row r="32" spans="1:14" s="692" customFormat="1" ht="16.5" customHeight="1" thickTop="1" thickBot="1">
      <c r="A32" s="685" t="s">
        <v>449</v>
      </c>
      <c r="B32" s="686">
        <f>B8+B15+B22+B26+B31</f>
        <v>2234.58</v>
      </c>
      <c r="C32" s="687">
        <f>C8+C15+C22+C26+C31</f>
        <v>1500</v>
      </c>
      <c r="D32" s="688">
        <f>+B32/C32</f>
        <v>1.4897199999999999</v>
      </c>
      <c r="E32" s="689">
        <f t="shared" ref="E32:J32" si="7">E8+E15+E22+E26+E31</f>
        <v>3869.54</v>
      </c>
      <c r="F32" s="689">
        <f t="shared" si="7"/>
        <v>963.56</v>
      </c>
      <c r="G32" s="689">
        <f t="shared" si="7"/>
        <v>4833.1000000000004</v>
      </c>
      <c r="H32" s="689">
        <f t="shared" si="7"/>
        <v>38100.400000000001</v>
      </c>
      <c r="I32" s="689">
        <f>H32/B32</f>
        <v>17.050362931736615</v>
      </c>
      <c r="J32" s="689">
        <f t="shared" si="7"/>
        <v>33267.299999999996</v>
      </c>
      <c r="K32" s="690">
        <f>J32/H32</f>
        <v>0.87314831340353372</v>
      </c>
      <c r="L32" s="689">
        <f>L8+L15+L22+L26+L31</f>
        <v>30881.895599999996</v>
      </c>
      <c r="M32" s="689">
        <f>M8+M15+M22+M26+M31</f>
        <v>35714.995600000002</v>
      </c>
      <c r="N32" s="691">
        <f>N8+N15+N22+N26+N31</f>
        <v>2385.4043999999985</v>
      </c>
    </row>
    <row r="33" spans="1:45" s="692" customFormat="1" ht="13.9" customHeight="1" thickTop="1" thickBot="1">
      <c r="A33" s="1291"/>
      <c r="B33" s="1274"/>
      <c r="C33" s="1274"/>
      <c r="D33" s="1274"/>
      <c r="E33" s="1274"/>
      <c r="F33" s="1274"/>
      <c r="G33" s="1274"/>
      <c r="H33" s="1274"/>
      <c r="I33" s="1274"/>
      <c r="J33" s="1274"/>
      <c r="K33" s="1274"/>
      <c r="L33" s="1274"/>
      <c r="M33" s="1274"/>
      <c r="N33" s="1274"/>
    </row>
    <row r="34" spans="1:45" ht="53.25" customHeight="1" thickTop="1" thickBot="1">
      <c r="A34" s="693" t="s">
        <v>412</v>
      </c>
      <c r="B34" s="694" t="s">
        <v>413</v>
      </c>
      <c r="C34" s="695" t="s">
        <v>414</v>
      </c>
      <c r="D34" s="696" t="s">
        <v>415</v>
      </c>
      <c r="E34" s="697" t="s">
        <v>416</v>
      </c>
      <c r="F34" s="697" t="s">
        <v>417</v>
      </c>
      <c r="G34" s="697" t="s">
        <v>418</v>
      </c>
      <c r="H34" s="698" t="s">
        <v>46</v>
      </c>
      <c r="I34" s="698" t="s">
        <v>419</v>
      </c>
      <c r="J34" s="698" t="s">
        <v>420</v>
      </c>
      <c r="K34" s="699" t="s">
        <v>421</v>
      </c>
      <c r="L34" s="700" t="s">
        <v>422</v>
      </c>
      <c r="M34" s="698" t="s">
        <v>423</v>
      </c>
      <c r="N34" s="701" t="s">
        <v>424</v>
      </c>
    </row>
    <row r="35" spans="1:45" s="703" customFormat="1" ht="15.75" thickTop="1">
      <c r="A35" s="667" t="s">
        <v>450</v>
      </c>
      <c r="B35" s="640"/>
      <c r="C35" s="641"/>
      <c r="D35" s="642"/>
      <c r="E35" s="643"/>
      <c r="F35" s="643"/>
      <c r="G35" s="643"/>
      <c r="H35" s="644"/>
      <c r="I35" s="644"/>
      <c r="J35" s="644"/>
      <c r="K35" s="645"/>
      <c r="L35" s="646"/>
      <c r="M35" s="644"/>
      <c r="N35" s="647"/>
      <c r="O35" s="702"/>
      <c r="P35" s="702"/>
      <c r="Q35" s="702"/>
      <c r="R35" s="702"/>
      <c r="S35" s="702"/>
      <c r="T35" s="702"/>
      <c r="U35" s="702"/>
      <c r="V35" s="702"/>
      <c r="W35" s="702"/>
      <c r="X35" s="702"/>
      <c r="Y35" s="702"/>
      <c r="Z35" s="702"/>
      <c r="AA35" s="702"/>
      <c r="AB35" s="702"/>
      <c r="AC35" s="702"/>
      <c r="AD35" s="702"/>
      <c r="AE35" s="702"/>
      <c r="AF35" s="702"/>
      <c r="AG35" s="702"/>
      <c r="AH35" s="702"/>
      <c r="AI35" s="702"/>
      <c r="AJ35" s="702"/>
      <c r="AK35" s="702"/>
      <c r="AL35" s="702"/>
      <c r="AM35" s="702"/>
      <c r="AN35" s="702"/>
      <c r="AO35" s="702"/>
      <c r="AP35" s="702"/>
      <c r="AQ35" s="702"/>
      <c r="AR35" s="702"/>
      <c r="AS35" s="702"/>
    </row>
    <row r="36" spans="1:45" s="666" customFormat="1" ht="21" customHeight="1">
      <c r="A36" s="657" t="s">
        <v>447</v>
      </c>
      <c r="B36" s="675">
        <v>12</v>
      </c>
      <c r="C36" s="704"/>
      <c r="D36" s="654"/>
      <c r="E36" s="676"/>
      <c r="F36" s="676"/>
      <c r="G36" s="652">
        <f>+E36+F36</f>
        <v>0</v>
      </c>
      <c r="H36" s="653">
        <v>280</v>
      </c>
      <c r="I36" s="653">
        <f>H36/B36</f>
        <v>23.333333333333332</v>
      </c>
      <c r="J36" s="653">
        <f>H36-G36</f>
        <v>280</v>
      </c>
      <c r="K36" s="677">
        <f>J36/H36</f>
        <v>1</v>
      </c>
      <c r="L36" s="655">
        <f>B36*17.4</f>
        <v>208.79999999999998</v>
      </c>
      <c r="M36" s="653">
        <f>G36+L36</f>
        <v>208.79999999999998</v>
      </c>
      <c r="N36" s="656">
        <f>H36-M36</f>
        <v>71.200000000000017</v>
      </c>
    </row>
    <row r="37" spans="1:45" ht="17.25" customHeight="1" thickBot="1">
      <c r="A37" s="659" t="s">
        <v>429</v>
      </c>
      <c r="B37" s="678">
        <f>SUM(B36:B36)</f>
        <v>12</v>
      </c>
      <c r="C37" s="679">
        <v>300</v>
      </c>
      <c r="D37" s="662">
        <f>+B37/C37</f>
        <v>0.04</v>
      </c>
      <c r="E37" s="705">
        <f t="shared" ref="E37:N37" si="8">SUM(E36:E36)</f>
        <v>0</v>
      </c>
      <c r="F37" s="705">
        <f t="shared" si="8"/>
        <v>0</v>
      </c>
      <c r="G37" s="705">
        <f t="shared" si="8"/>
        <v>0</v>
      </c>
      <c r="H37" s="705">
        <f t="shared" si="8"/>
        <v>280</v>
      </c>
      <c r="I37" s="705"/>
      <c r="J37" s="705">
        <f t="shared" si="8"/>
        <v>280</v>
      </c>
      <c r="K37" s="673">
        <f>J37/H37</f>
        <v>1</v>
      </c>
      <c r="L37" s="705">
        <f t="shared" si="8"/>
        <v>208.79999999999998</v>
      </c>
      <c r="M37" s="705">
        <f t="shared" si="8"/>
        <v>208.79999999999998</v>
      </c>
      <c r="N37" s="706">
        <f t="shared" si="8"/>
        <v>71.200000000000017</v>
      </c>
    </row>
    <row r="38" spans="1:45" ht="15.75" thickTop="1">
      <c r="A38" s="667" t="s">
        <v>451</v>
      </c>
      <c r="B38" s="640"/>
      <c r="C38" s="668"/>
      <c r="D38" s="642"/>
      <c r="E38" s="643"/>
      <c r="F38" s="643"/>
      <c r="G38" s="643"/>
      <c r="H38" s="644"/>
      <c r="I38" s="644"/>
      <c r="J38" s="644"/>
      <c r="K38" s="645"/>
      <c r="L38" s="669"/>
      <c r="M38" s="669"/>
      <c r="N38" s="647"/>
    </row>
    <row r="39" spans="1:45">
      <c r="A39" s="657" t="s">
        <v>452</v>
      </c>
      <c r="B39" s="675">
        <f>223.2+63.6</f>
        <v>286.8</v>
      </c>
      <c r="C39" s="670"/>
      <c r="D39" s="654"/>
      <c r="E39" s="676">
        <f>180+208.81+46.12</f>
        <v>434.93</v>
      </c>
      <c r="F39" s="676">
        <f>129.67+58.13+77.43+135.63</f>
        <v>400.86</v>
      </c>
      <c r="G39" s="652">
        <f>+E39+F39</f>
        <v>835.79</v>
      </c>
      <c r="H39" s="653">
        <v>5000</v>
      </c>
      <c r="I39" s="707">
        <f>H39/B39</f>
        <v>17.433751743375172</v>
      </c>
      <c r="J39" s="653">
        <f>H39-G39</f>
        <v>4164.21</v>
      </c>
      <c r="K39" s="677">
        <f>J39/H39</f>
        <v>0.83284199999999997</v>
      </c>
      <c r="L39" s="655">
        <f>B39*17.4</f>
        <v>4990.32</v>
      </c>
      <c r="M39" s="653">
        <f>G39+L39</f>
        <v>5826.11</v>
      </c>
      <c r="N39" s="708">
        <f>H39-M39</f>
        <v>-826.10999999999967</v>
      </c>
    </row>
    <row r="40" spans="1:45">
      <c r="A40" s="657" t="s">
        <v>453</v>
      </c>
      <c r="B40" s="675">
        <f>15.6+98.8</f>
        <v>114.39999999999999</v>
      </c>
      <c r="C40" s="670"/>
      <c r="D40" s="654"/>
      <c r="E40" s="676"/>
      <c r="F40" s="676">
        <v>28.5</v>
      </c>
      <c r="G40" s="652">
        <f>+E40+F40</f>
        <v>28.5</v>
      </c>
      <c r="H40" s="653">
        <v>1560</v>
      </c>
      <c r="I40" s="658">
        <f>H40/B40</f>
        <v>13.636363636363637</v>
      </c>
      <c r="J40" s="653">
        <f>H40-G40</f>
        <v>1531.5</v>
      </c>
      <c r="K40" s="677">
        <f>J40/H40</f>
        <v>0.98173076923076918</v>
      </c>
      <c r="L40" s="655">
        <f>B40*17.4</f>
        <v>1990.5599999999997</v>
      </c>
      <c r="M40" s="653">
        <f>G40+L40</f>
        <v>2019.0599999999997</v>
      </c>
      <c r="N40" s="708">
        <f>H40-M40</f>
        <v>-459.05999999999972</v>
      </c>
    </row>
    <row r="41" spans="1:45" s="666" customFormat="1" ht="16.5" customHeight="1">
      <c r="A41" s="657" t="s">
        <v>454</v>
      </c>
      <c r="B41" s="675">
        <v>41.6</v>
      </c>
      <c r="C41" s="670"/>
      <c r="D41" s="654"/>
      <c r="E41" s="676"/>
      <c r="F41" s="676"/>
      <c r="G41" s="652">
        <f>+E41+F41</f>
        <v>0</v>
      </c>
      <c r="H41" s="653">
        <v>480</v>
      </c>
      <c r="I41" s="658">
        <f>H41/B41</f>
        <v>11.538461538461538</v>
      </c>
      <c r="J41" s="653">
        <f>H41-G41</f>
        <v>480</v>
      </c>
      <c r="K41" s="677">
        <f>J41/H41</f>
        <v>1</v>
      </c>
      <c r="L41" s="655">
        <f>B41*17.4</f>
        <v>723.83999999999992</v>
      </c>
      <c r="M41" s="653">
        <f>G41+L41</f>
        <v>723.83999999999992</v>
      </c>
      <c r="N41" s="708">
        <f>H41-M41</f>
        <v>-243.83999999999992</v>
      </c>
    </row>
    <row r="42" spans="1:45" ht="17.25" customHeight="1" thickBot="1">
      <c r="A42" s="659" t="s">
        <v>429</v>
      </c>
      <c r="B42" s="678">
        <f>SUM(B39:B41)</f>
        <v>442.8</v>
      </c>
      <c r="C42" s="679">
        <v>400</v>
      </c>
      <c r="D42" s="662">
        <f>+B42/C42</f>
        <v>1.107</v>
      </c>
      <c r="E42" s="705">
        <f t="shared" ref="E42:N42" si="9">SUM(E39:E41)</f>
        <v>434.93</v>
      </c>
      <c r="F42" s="705">
        <f t="shared" si="9"/>
        <v>429.36</v>
      </c>
      <c r="G42" s="705">
        <f t="shared" si="9"/>
        <v>864.29</v>
      </c>
      <c r="H42" s="705">
        <f t="shared" si="9"/>
        <v>7040</v>
      </c>
      <c r="I42" s="705"/>
      <c r="J42" s="705">
        <f t="shared" si="9"/>
        <v>6175.71</v>
      </c>
      <c r="K42" s="673">
        <f>J42/H42</f>
        <v>0.87723153409090915</v>
      </c>
      <c r="L42" s="705">
        <f t="shared" si="9"/>
        <v>7704.7199999999993</v>
      </c>
      <c r="M42" s="705">
        <f t="shared" si="9"/>
        <v>8569.0099999999984</v>
      </c>
      <c r="N42" s="706">
        <f t="shared" si="9"/>
        <v>-1529.0099999999993</v>
      </c>
    </row>
    <row r="43" spans="1:45" ht="15.75" thickTop="1">
      <c r="A43" s="667" t="s">
        <v>455</v>
      </c>
      <c r="B43" s="640"/>
      <c r="C43" s="668"/>
      <c r="D43" s="642"/>
      <c r="E43" s="643"/>
      <c r="F43" s="643"/>
      <c r="G43" s="643"/>
      <c r="H43" s="644"/>
      <c r="I43" s="644"/>
      <c r="J43" s="644"/>
      <c r="K43" s="645"/>
      <c r="L43" s="669"/>
      <c r="M43" s="669"/>
      <c r="N43" s="647"/>
    </row>
    <row r="44" spans="1:45">
      <c r="A44" s="657" t="s">
        <v>456</v>
      </c>
      <c r="B44" s="675">
        <f>26+52</f>
        <v>78</v>
      </c>
      <c r="C44" s="670"/>
      <c r="D44" s="654"/>
      <c r="E44" s="676">
        <v>0</v>
      </c>
      <c r="F44" s="676">
        <v>0</v>
      </c>
      <c r="G44" s="652">
        <f>+E44+F44</f>
        <v>0</v>
      </c>
      <c r="H44" s="653">
        <v>1248</v>
      </c>
      <c r="I44" s="658">
        <f>H44/B44</f>
        <v>16</v>
      </c>
      <c r="J44" s="653">
        <f>H44-G44</f>
        <v>1248</v>
      </c>
      <c r="K44" s="677">
        <f>J44/H44</f>
        <v>1</v>
      </c>
      <c r="L44" s="655">
        <f>B44*17.4</f>
        <v>1357.1999999999998</v>
      </c>
      <c r="M44" s="653">
        <f>G44+L44</f>
        <v>1357.1999999999998</v>
      </c>
      <c r="N44" s="708">
        <f>H44-M44</f>
        <v>-109.19999999999982</v>
      </c>
    </row>
    <row r="45" spans="1:45" s="666" customFormat="1" ht="16.5" customHeight="1">
      <c r="A45" s="657" t="s">
        <v>457</v>
      </c>
      <c r="B45" s="675">
        <f>78+156</f>
        <v>234</v>
      </c>
      <c r="C45" s="670"/>
      <c r="D45" s="654"/>
      <c r="E45" s="676"/>
      <c r="F45" s="676"/>
      <c r="G45" s="652">
        <f>+E45+F45</f>
        <v>0</v>
      </c>
      <c r="H45" s="653">
        <v>4505</v>
      </c>
      <c r="I45" s="653">
        <f>H45/B45</f>
        <v>19.252136752136753</v>
      </c>
      <c r="J45" s="653">
        <f>H45-G45</f>
        <v>4505</v>
      </c>
      <c r="K45" s="677">
        <f>J45/H45</f>
        <v>1</v>
      </c>
      <c r="L45" s="655">
        <f>B45*17.4</f>
        <v>4071.5999999999995</v>
      </c>
      <c r="M45" s="653">
        <f>G45+L45</f>
        <v>4071.5999999999995</v>
      </c>
      <c r="N45" s="656">
        <f>H45-M45</f>
        <v>433.40000000000055</v>
      </c>
    </row>
    <row r="46" spans="1:45" ht="15.75" thickBot="1">
      <c r="A46" s="659" t="s">
        <v>429</v>
      </c>
      <c r="B46" s="678">
        <f>SUM(B44:B45)</f>
        <v>312</v>
      </c>
      <c r="C46" s="679">
        <v>400</v>
      </c>
      <c r="D46" s="662">
        <f>+B46/C46</f>
        <v>0.78</v>
      </c>
      <c r="E46" s="680">
        <f t="shared" ref="E46:N46" si="10">SUM(E44:E45)</f>
        <v>0</v>
      </c>
      <c r="F46" s="681">
        <f t="shared" si="10"/>
        <v>0</v>
      </c>
      <c r="G46" s="681">
        <f t="shared" si="10"/>
        <v>0</v>
      </c>
      <c r="H46" s="680">
        <f t="shared" si="10"/>
        <v>5753</v>
      </c>
      <c r="I46" s="680"/>
      <c r="J46" s="680">
        <f t="shared" si="10"/>
        <v>5753</v>
      </c>
      <c r="K46" s="673">
        <f>J46/H46</f>
        <v>1</v>
      </c>
      <c r="L46" s="680">
        <f t="shared" si="10"/>
        <v>5428.7999999999993</v>
      </c>
      <c r="M46" s="680">
        <f t="shared" si="10"/>
        <v>5428.7999999999993</v>
      </c>
      <c r="N46" s="684">
        <f t="shared" si="10"/>
        <v>324.20000000000073</v>
      </c>
    </row>
    <row r="47" spans="1:45" ht="15.75" thickTop="1">
      <c r="A47" s="667" t="s">
        <v>458</v>
      </c>
      <c r="B47" s="640"/>
      <c r="C47" s="668"/>
      <c r="D47" s="642"/>
      <c r="E47" s="643"/>
      <c r="F47" s="643"/>
      <c r="G47" s="643"/>
      <c r="H47" s="644"/>
      <c r="I47" s="644"/>
      <c r="J47" s="644"/>
      <c r="K47" s="645"/>
      <c r="L47" s="669"/>
      <c r="M47" s="669"/>
      <c r="N47" s="647"/>
    </row>
    <row r="48" spans="1:45">
      <c r="A48" s="657" t="s">
        <v>459</v>
      </c>
      <c r="B48" s="675">
        <f>47.2+150.8</f>
        <v>198</v>
      </c>
      <c r="C48" s="670"/>
      <c r="D48" s="654"/>
      <c r="E48" s="652">
        <v>300</v>
      </c>
      <c r="F48" s="652">
        <v>150</v>
      </c>
      <c r="G48" s="652">
        <f>+E48+F48</f>
        <v>450</v>
      </c>
      <c r="H48" s="653">
        <v>2295</v>
      </c>
      <c r="I48" s="658">
        <f>H48/B48</f>
        <v>11.590909090909092</v>
      </c>
      <c r="J48" s="653">
        <f>H48-G48</f>
        <v>1845</v>
      </c>
      <c r="K48" s="677">
        <f>J48/H48</f>
        <v>0.80392156862745101</v>
      </c>
      <c r="L48" s="655">
        <f>B48*17.4</f>
        <v>3445.2</v>
      </c>
      <c r="M48" s="653">
        <f>G48+L48</f>
        <v>3895.2</v>
      </c>
      <c r="N48" s="708">
        <f>H48-M48</f>
        <v>-1600.1999999999998</v>
      </c>
    </row>
    <row r="49" spans="1:14">
      <c r="A49" s="657" t="s">
        <v>460</v>
      </c>
      <c r="B49" s="675">
        <f>15.6+83.2</f>
        <v>98.8</v>
      </c>
      <c r="C49" s="670"/>
      <c r="D49" s="654"/>
      <c r="E49" s="676">
        <v>220</v>
      </c>
      <c r="F49" s="676"/>
      <c r="G49" s="652">
        <f>+E49+F49</f>
        <v>220</v>
      </c>
      <c r="H49" s="653">
        <v>800</v>
      </c>
      <c r="I49" s="658">
        <f>H49/B49</f>
        <v>8.097165991902834</v>
      </c>
      <c r="J49" s="653">
        <f>H49-G49</f>
        <v>580</v>
      </c>
      <c r="K49" s="677">
        <f>J49/H49</f>
        <v>0.72499999999999998</v>
      </c>
      <c r="L49" s="655">
        <f>B49*17.4</f>
        <v>1719.12</v>
      </c>
      <c r="M49" s="653">
        <f>G49+L49</f>
        <v>1939.12</v>
      </c>
      <c r="N49" s="708">
        <f>H49-M49</f>
        <v>-1139.1199999999999</v>
      </c>
    </row>
    <row r="50" spans="1:14">
      <c r="A50" s="657" t="s">
        <v>461</v>
      </c>
      <c r="B50" s="675"/>
      <c r="C50" s="670"/>
      <c r="D50" s="654"/>
      <c r="E50" s="676"/>
      <c r="F50" s="676"/>
      <c r="G50" s="652">
        <f>+E50+F50</f>
        <v>0</v>
      </c>
      <c r="H50" s="653">
        <v>700</v>
      </c>
      <c r="I50" s="653"/>
      <c r="J50" s="653">
        <f>H50-G50</f>
        <v>700</v>
      </c>
      <c r="K50" s="677">
        <f>J50/H50</f>
        <v>1</v>
      </c>
      <c r="L50" s="655">
        <f>B50*17.4</f>
        <v>0</v>
      </c>
      <c r="M50" s="653">
        <f>G50+L50</f>
        <v>0</v>
      </c>
      <c r="N50" s="656"/>
    </row>
    <row r="51" spans="1:14" ht="15.75" thickBot="1">
      <c r="A51" s="659" t="s">
        <v>429</v>
      </c>
      <c r="B51" s="678">
        <f>SUM(B48:B50)</f>
        <v>296.8</v>
      </c>
      <c r="C51" s="679">
        <v>400</v>
      </c>
      <c r="D51" s="662">
        <f>+B51/C51</f>
        <v>0.74199999999999999</v>
      </c>
      <c r="E51" s="680">
        <f t="shared" ref="E51:N51" si="11">SUM(E48:E50)</f>
        <v>520</v>
      </c>
      <c r="F51" s="681">
        <f t="shared" si="11"/>
        <v>150</v>
      </c>
      <c r="G51" s="681">
        <f t="shared" si="11"/>
        <v>670</v>
      </c>
      <c r="H51" s="680">
        <f t="shared" si="11"/>
        <v>3795</v>
      </c>
      <c r="I51" s="680"/>
      <c r="J51" s="680">
        <f t="shared" si="11"/>
        <v>3125</v>
      </c>
      <c r="K51" s="673">
        <f>J51/H51</f>
        <v>0.82345191040843213</v>
      </c>
      <c r="L51" s="680">
        <f t="shared" si="11"/>
        <v>5164.32</v>
      </c>
      <c r="M51" s="680">
        <f t="shared" si="11"/>
        <v>5834.32</v>
      </c>
      <c r="N51" s="684">
        <f t="shared" si="11"/>
        <v>-2739.3199999999997</v>
      </c>
    </row>
    <row r="52" spans="1:14" ht="15.75" thickTop="1">
      <c r="A52" s="667" t="s">
        <v>462</v>
      </c>
      <c r="B52" s="640"/>
      <c r="C52" s="668"/>
      <c r="D52" s="642"/>
      <c r="E52" s="643"/>
      <c r="F52" s="643"/>
      <c r="G52" s="643"/>
      <c r="H52" s="644"/>
      <c r="I52" s="644"/>
      <c r="J52" s="644"/>
      <c r="K52" s="645"/>
      <c r="L52" s="669"/>
      <c r="M52" s="669"/>
      <c r="N52" s="647"/>
    </row>
    <row r="53" spans="1:14">
      <c r="A53" s="657" t="s">
        <v>463</v>
      </c>
      <c r="B53" s="675">
        <f>15.6+78</f>
        <v>93.6</v>
      </c>
      <c r="C53" s="670"/>
      <c r="D53" s="654"/>
      <c r="E53" s="709"/>
      <c r="F53" s="709"/>
      <c r="G53" s="652">
        <f>+E53+F53</f>
        <v>0</v>
      </c>
      <c r="H53" s="653">
        <v>1080</v>
      </c>
      <c r="I53" s="658">
        <f>H53/B53</f>
        <v>11.538461538461538</v>
      </c>
      <c r="J53" s="653">
        <f>H53-G53</f>
        <v>1080</v>
      </c>
      <c r="K53" s="677">
        <f>J53/H53</f>
        <v>1</v>
      </c>
      <c r="L53" s="655">
        <f>B53*17.4</f>
        <v>1628.6399999999999</v>
      </c>
      <c r="M53" s="653">
        <f>G53+L53</f>
        <v>1628.6399999999999</v>
      </c>
      <c r="N53" s="708">
        <f>H53-M53</f>
        <v>-548.63999999999987</v>
      </c>
    </row>
    <row r="54" spans="1:14">
      <c r="A54" s="657" t="s">
        <v>464</v>
      </c>
      <c r="B54" s="675">
        <f>62.4+327.6</f>
        <v>390</v>
      </c>
      <c r="C54" s="670"/>
      <c r="D54" s="654"/>
      <c r="E54" s="676">
        <v>500</v>
      </c>
      <c r="F54" s="676"/>
      <c r="G54" s="652">
        <f>+E54+F54</f>
        <v>500</v>
      </c>
      <c r="H54" s="653">
        <v>3360</v>
      </c>
      <c r="I54" s="658">
        <f>H54/B54</f>
        <v>8.615384615384615</v>
      </c>
      <c r="J54" s="653">
        <f>H54-G54</f>
        <v>2860</v>
      </c>
      <c r="K54" s="677">
        <f>J54/H54</f>
        <v>0.85119047619047616</v>
      </c>
      <c r="L54" s="655">
        <f>B54*17.4</f>
        <v>6785.9999999999991</v>
      </c>
      <c r="M54" s="653">
        <f>G54+L54</f>
        <v>7285.9999999999991</v>
      </c>
      <c r="N54" s="708">
        <f>H54-M54</f>
        <v>-3925.9999999999991</v>
      </c>
    </row>
    <row r="55" spans="1:14" ht="15.75" thickBot="1">
      <c r="A55" s="659" t="s">
        <v>429</v>
      </c>
      <c r="B55" s="678">
        <f>SUM(B53:B54)</f>
        <v>483.6</v>
      </c>
      <c r="C55" s="679">
        <v>400</v>
      </c>
      <c r="D55" s="662">
        <f>+B55/C55</f>
        <v>1.2090000000000001</v>
      </c>
      <c r="E55" s="680">
        <f t="shared" ref="E55:N55" si="12">SUM(E53:E54)</f>
        <v>500</v>
      </c>
      <c r="F55" s="681">
        <f t="shared" si="12"/>
        <v>0</v>
      </c>
      <c r="G55" s="681">
        <f t="shared" si="12"/>
        <v>500</v>
      </c>
      <c r="H55" s="680">
        <f t="shared" si="12"/>
        <v>4440</v>
      </c>
      <c r="I55" s="680"/>
      <c r="J55" s="680">
        <f t="shared" si="12"/>
        <v>3940</v>
      </c>
      <c r="K55" s="673">
        <f>J55/H55</f>
        <v>0.88738738738738743</v>
      </c>
      <c r="L55" s="680">
        <f t="shared" si="12"/>
        <v>8414.64</v>
      </c>
      <c r="M55" s="680">
        <f t="shared" si="12"/>
        <v>8914.64</v>
      </c>
      <c r="N55" s="684">
        <f t="shared" si="12"/>
        <v>-4474.6399999999994</v>
      </c>
    </row>
    <row r="56" spans="1:14" ht="15.75" thickTop="1">
      <c r="A56" s="667" t="s">
        <v>465</v>
      </c>
      <c r="B56" s="640"/>
      <c r="C56" s="668"/>
      <c r="D56" s="642"/>
      <c r="E56" s="643"/>
      <c r="F56" s="643"/>
      <c r="G56" s="643"/>
      <c r="H56" s="644"/>
      <c r="I56" s="644"/>
      <c r="J56" s="644"/>
      <c r="K56" s="645"/>
      <c r="L56" s="669"/>
      <c r="M56" s="669"/>
      <c r="N56" s="647"/>
    </row>
    <row r="57" spans="1:14">
      <c r="A57" s="657"/>
      <c r="B57" s="675">
        <v>0</v>
      </c>
      <c r="C57" s="670"/>
      <c r="D57" s="654"/>
      <c r="E57" s="652"/>
      <c r="F57" s="652"/>
      <c r="G57" s="652">
        <f>+E57+F57</f>
        <v>0</v>
      </c>
      <c r="H57" s="653">
        <v>0</v>
      </c>
      <c r="I57" s="658" t="e">
        <f>H57/B57</f>
        <v>#DIV/0!</v>
      </c>
      <c r="J57" s="653">
        <f>H57-G57</f>
        <v>0</v>
      </c>
      <c r="K57" s="677" t="e">
        <f>J57/H57</f>
        <v>#DIV/0!</v>
      </c>
      <c r="L57" s="655">
        <f>B57*17.4</f>
        <v>0</v>
      </c>
      <c r="M57" s="653">
        <f>G57+L57</f>
        <v>0</v>
      </c>
      <c r="N57" s="656">
        <f>H57-M57</f>
        <v>0</v>
      </c>
    </row>
    <row r="58" spans="1:14">
      <c r="A58" s="657"/>
      <c r="B58" s="675">
        <v>0</v>
      </c>
      <c r="C58" s="670"/>
      <c r="D58" s="654"/>
      <c r="E58" s="676"/>
      <c r="F58" s="676"/>
      <c r="G58" s="652">
        <f>+E58+F58</f>
        <v>0</v>
      </c>
      <c r="H58" s="653">
        <v>0</v>
      </c>
      <c r="I58" s="658" t="e">
        <f>H58/B58</f>
        <v>#DIV/0!</v>
      </c>
      <c r="J58" s="653">
        <f>H58-G58</f>
        <v>0</v>
      </c>
      <c r="K58" s="677" t="e">
        <f>J58/H58</f>
        <v>#DIV/0!</v>
      </c>
      <c r="L58" s="655">
        <f>B58*17.4</f>
        <v>0</v>
      </c>
      <c r="M58" s="653">
        <f>G58+L58</f>
        <v>0</v>
      </c>
      <c r="N58" s="656">
        <f>H58-M58</f>
        <v>0</v>
      </c>
    </row>
    <row r="59" spans="1:14">
      <c r="A59" s="657"/>
      <c r="B59" s="675">
        <v>0</v>
      </c>
      <c r="C59" s="670"/>
      <c r="D59" s="654"/>
      <c r="E59" s="676"/>
      <c r="F59" s="676"/>
      <c r="G59" s="652">
        <f>+E59+F59</f>
        <v>0</v>
      </c>
      <c r="H59" s="653">
        <v>0</v>
      </c>
      <c r="I59" s="658" t="e">
        <f>H59/B59</f>
        <v>#DIV/0!</v>
      </c>
      <c r="J59" s="653">
        <f>H59-G59</f>
        <v>0</v>
      </c>
      <c r="K59" s="677" t="e">
        <f>J59/H59</f>
        <v>#DIV/0!</v>
      </c>
      <c r="L59" s="655">
        <f>B59*17.4</f>
        <v>0</v>
      </c>
      <c r="M59" s="653">
        <f>G59+L59</f>
        <v>0</v>
      </c>
      <c r="N59" s="656">
        <f>H59-M59</f>
        <v>0</v>
      </c>
    </row>
    <row r="60" spans="1:14" ht="15.75" thickBot="1">
      <c r="A60" s="659" t="s">
        <v>429</v>
      </c>
      <c r="B60" s="678">
        <f>SUM(B57:B59)</f>
        <v>0</v>
      </c>
      <c r="C60" s="679">
        <v>400</v>
      </c>
      <c r="D60" s="662">
        <f>+B60/C60</f>
        <v>0</v>
      </c>
      <c r="E60" s="680">
        <f>SUM(E57:E59)</f>
        <v>0</v>
      </c>
      <c r="F60" s="681">
        <f>SUM(F57:F59)</f>
        <v>0</v>
      </c>
      <c r="G60" s="681">
        <f>SUM(G57:G59)</f>
        <v>0</v>
      </c>
      <c r="H60" s="680">
        <f>SUM(H57:H59)</f>
        <v>0</v>
      </c>
      <c r="I60" s="680"/>
      <c r="J60" s="680">
        <f>SUM(J57:J59)</f>
        <v>0</v>
      </c>
      <c r="K60" s="673" t="e">
        <f>J60/H60</f>
        <v>#DIV/0!</v>
      </c>
      <c r="L60" s="680">
        <f>SUM(L57:L59)</f>
        <v>0</v>
      </c>
      <c r="M60" s="680">
        <f>SUM(M57:M59)</f>
        <v>0</v>
      </c>
      <c r="N60" s="684">
        <f>SUM(N57:N59)</f>
        <v>0</v>
      </c>
    </row>
    <row r="61" spans="1:14" ht="15.75" thickTop="1">
      <c r="A61" s="710" t="s">
        <v>466</v>
      </c>
      <c r="B61" s="711"/>
      <c r="C61" s="712"/>
      <c r="D61" s="713"/>
      <c r="E61" s="714"/>
      <c r="F61" s="714"/>
      <c r="G61" s="714"/>
      <c r="H61" s="715"/>
      <c r="I61" s="715"/>
      <c r="J61" s="715"/>
      <c r="K61" s="716"/>
      <c r="L61" s="717"/>
      <c r="M61" s="717"/>
      <c r="N61" s="718"/>
    </row>
    <row r="62" spans="1:14">
      <c r="A62" s="657"/>
      <c r="B62" s="675">
        <v>0</v>
      </c>
      <c r="C62" s="670"/>
      <c r="D62" s="654"/>
      <c r="E62" s="652"/>
      <c r="F62" s="652"/>
      <c r="G62" s="652">
        <f>+E62+F62</f>
        <v>0</v>
      </c>
      <c r="H62" s="653">
        <v>0</v>
      </c>
      <c r="I62" s="658" t="e">
        <f>H62/B62</f>
        <v>#DIV/0!</v>
      </c>
      <c r="J62" s="653">
        <f>H62-G62</f>
        <v>0</v>
      </c>
      <c r="K62" s="677" t="e">
        <f>J62/H62</f>
        <v>#DIV/0!</v>
      </c>
      <c r="L62" s="655">
        <f>B62*17.4</f>
        <v>0</v>
      </c>
      <c r="M62" s="653">
        <f>G62+L62</f>
        <v>0</v>
      </c>
      <c r="N62" s="656">
        <f>H62-M62</f>
        <v>0</v>
      </c>
    </row>
    <row r="63" spans="1:14">
      <c r="A63" s="657"/>
      <c r="B63" s="675">
        <v>0</v>
      </c>
      <c r="C63" s="670"/>
      <c r="D63" s="654"/>
      <c r="E63" s="676"/>
      <c r="F63" s="676"/>
      <c r="G63" s="652">
        <f>+E63+F63</f>
        <v>0</v>
      </c>
      <c r="H63" s="653">
        <v>0</v>
      </c>
      <c r="I63" s="658" t="e">
        <f>H63/B63</f>
        <v>#DIV/0!</v>
      </c>
      <c r="J63" s="653">
        <f>H63-G63</f>
        <v>0</v>
      </c>
      <c r="K63" s="677" t="e">
        <f>J63/H63</f>
        <v>#DIV/0!</v>
      </c>
      <c r="L63" s="655">
        <f>B63*17.4</f>
        <v>0</v>
      </c>
      <c r="M63" s="653">
        <f>G63+L63</f>
        <v>0</v>
      </c>
      <c r="N63" s="656">
        <f>H63-M63</f>
        <v>0</v>
      </c>
    </row>
    <row r="64" spans="1:14">
      <c r="A64" s="657"/>
      <c r="B64" s="675">
        <v>0</v>
      </c>
      <c r="C64" s="670"/>
      <c r="D64" s="654"/>
      <c r="E64" s="676"/>
      <c r="F64" s="676"/>
      <c r="G64" s="652">
        <f>+E64+F64</f>
        <v>0</v>
      </c>
      <c r="H64" s="653">
        <v>0</v>
      </c>
      <c r="I64" s="658" t="e">
        <f>H64/B64</f>
        <v>#DIV/0!</v>
      </c>
      <c r="J64" s="653">
        <f>H64-G64</f>
        <v>0</v>
      </c>
      <c r="K64" s="677" t="e">
        <f>J64/H64</f>
        <v>#DIV/0!</v>
      </c>
      <c r="L64" s="655">
        <f>B64*17.4</f>
        <v>0</v>
      </c>
      <c r="M64" s="653">
        <f>G64+L64</f>
        <v>0</v>
      </c>
      <c r="N64" s="656">
        <f>H64-M64</f>
        <v>0</v>
      </c>
    </row>
    <row r="65" spans="1:14" ht="15.75" thickBot="1">
      <c r="A65" s="659" t="s">
        <v>429</v>
      </c>
      <c r="B65" s="678">
        <f>SUM(B62:B64)</f>
        <v>0</v>
      </c>
      <c r="C65" s="679">
        <v>400</v>
      </c>
      <c r="D65" s="662">
        <f>+B65/C65</f>
        <v>0</v>
      </c>
      <c r="E65" s="680">
        <f>SUM(E62:E64)</f>
        <v>0</v>
      </c>
      <c r="F65" s="681">
        <f>SUM(F62:F64)</f>
        <v>0</v>
      </c>
      <c r="G65" s="681">
        <f>SUM(G62:G64)</f>
        <v>0</v>
      </c>
      <c r="H65" s="680">
        <f>SUM(H62:H64)</f>
        <v>0</v>
      </c>
      <c r="I65" s="680"/>
      <c r="J65" s="680">
        <f>SUM(J62:J64)</f>
        <v>0</v>
      </c>
      <c r="K65" s="673" t="e">
        <f>J65/H65</f>
        <v>#DIV/0!</v>
      </c>
      <c r="L65" s="680">
        <f>SUM(L62:L64)</f>
        <v>0</v>
      </c>
      <c r="M65" s="680">
        <f>SUM(M62:M64)</f>
        <v>0</v>
      </c>
      <c r="N65" s="684">
        <f>SUM(N62:N64)</f>
        <v>0</v>
      </c>
    </row>
    <row r="66" spans="1:14" ht="13.9" customHeight="1" thickTop="1" thickBot="1">
      <c r="A66" s="1292"/>
      <c r="B66" s="1274"/>
      <c r="C66" s="1274"/>
      <c r="D66" s="1274"/>
      <c r="E66" s="1274"/>
      <c r="F66" s="1274"/>
      <c r="G66" s="1274"/>
      <c r="H66" s="1274"/>
      <c r="I66" s="1274"/>
      <c r="J66" s="1274"/>
      <c r="K66" s="1274"/>
      <c r="L66" s="1274"/>
      <c r="M66" s="1274"/>
      <c r="N66" s="1274"/>
    </row>
    <row r="67" spans="1:14" s="727" customFormat="1" ht="15.75" thickTop="1">
      <c r="A67" s="719" t="s">
        <v>119</v>
      </c>
      <c r="B67" s="720">
        <f t="shared" ref="B67:M67" si="13">B37+B42+B46+B51+B55+B60+B65</f>
        <v>1547.1999999999998</v>
      </c>
      <c r="C67" s="721">
        <f t="shared" si="13"/>
        <v>2700</v>
      </c>
      <c r="D67" s="722">
        <f>+B67/C67</f>
        <v>0.57303703703703701</v>
      </c>
      <c r="E67" s="723">
        <f t="shared" si="13"/>
        <v>1454.93</v>
      </c>
      <c r="F67" s="723">
        <f t="shared" si="13"/>
        <v>579.36</v>
      </c>
      <c r="G67" s="723">
        <f t="shared" si="13"/>
        <v>2034.29</v>
      </c>
      <c r="H67" s="723">
        <f t="shared" si="13"/>
        <v>21308</v>
      </c>
      <c r="I67" s="724">
        <f>H67/B67</f>
        <v>13.771975180972079</v>
      </c>
      <c r="J67" s="723">
        <f t="shared" si="13"/>
        <v>19273.71</v>
      </c>
      <c r="K67" s="725">
        <f>J67/H67</f>
        <v>0.90452928477567107</v>
      </c>
      <c r="L67" s="723">
        <f t="shared" si="13"/>
        <v>26921.279999999999</v>
      </c>
      <c r="M67" s="723">
        <f t="shared" si="13"/>
        <v>28955.569999999996</v>
      </c>
      <c r="N67" s="726">
        <f>N37+N42+N46+N51+N55+N60+N65</f>
        <v>-8347.5699999999979</v>
      </c>
    </row>
    <row r="68" spans="1:14" s="736" customFormat="1" ht="18" customHeight="1">
      <c r="A68" s="728" t="s">
        <v>467</v>
      </c>
      <c r="B68" s="729">
        <f>'[1]ratio previsionnel'!I24</f>
        <v>4022.8</v>
      </c>
      <c r="C68" s="730">
        <f>7*700</f>
        <v>4900</v>
      </c>
      <c r="D68" s="731">
        <f>B68/C68</f>
        <v>0.82097959183673475</v>
      </c>
      <c r="E68" s="732">
        <f>'[1]ratio previsionnel'!M24</f>
        <v>2910</v>
      </c>
      <c r="F68" s="732">
        <f>'[1]ratio previsionnel'!L24</f>
        <v>2570</v>
      </c>
      <c r="G68" s="732">
        <f>E68+F68</f>
        <v>5480</v>
      </c>
      <c r="H68" s="732">
        <f>B68*21</f>
        <v>84478.8</v>
      </c>
      <c r="I68" s="733">
        <f>H68/B68</f>
        <v>21</v>
      </c>
      <c r="J68" s="732">
        <f>H68-G68</f>
        <v>78998.8</v>
      </c>
      <c r="K68" s="734">
        <f>J68/H68</f>
        <v>0.93513165433221113</v>
      </c>
      <c r="L68" s="732">
        <f>B68*17.4</f>
        <v>69996.72</v>
      </c>
      <c r="M68" s="732">
        <f>G68+L68</f>
        <v>75476.72</v>
      </c>
      <c r="N68" s="735">
        <f>H68-M68</f>
        <v>9002.0800000000017</v>
      </c>
    </row>
    <row r="69" spans="1:14" s="745" customFormat="1" ht="18" customHeight="1" thickBot="1">
      <c r="A69" s="737" t="s">
        <v>323</v>
      </c>
      <c r="B69" s="738">
        <f>B67+B68</f>
        <v>5570</v>
      </c>
      <c r="C69" s="739">
        <f>C67+C68</f>
        <v>7600</v>
      </c>
      <c r="D69" s="740">
        <f>B69/C69</f>
        <v>0.73289473684210527</v>
      </c>
      <c r="E69" s="741">
        <f>E67+E68</f>
        <v>4364.93</v>
      </c>
      <c r="F69" s="741">
        <f>F67+F68</f>
        <v>3149.36</v>
      </c>
      <c r="G69" s="741">
        <f>G67+G68</f>
        <v>7514.29</v>
      </c>
      <c r="H69" s="741">
        <f>H67+H68</f>
        <v>105786.8</v>
      </c>
      <c r="I69" s="742">
        <f>H69/B69</f>
        <v>18.992244165170558</v>
      </c>
      <c r="J69" s="742">
        <f>J67+J68</f>
        <v>98272.510000000009</v>
      </c>
      <c r="K69" s="743">
        <f>J69/H69</f>
        <v>0.92896760276329382</v>
      </c>
      <c r="L69" s="741">
        <f>L67+L68</f>
        <v>96918</v>
      </c>
      <c r="M69" s="741">
        <f>M67+M68</f>
        <v>104432.29</v>
      </c>
      <c r="N69" s="744">
        <f>N67+N68</f>
        <v>654.51000000000386</v>
      </c>
    </row>
    <row r="70" spans="1:14" ht="15.75" thickTop="1"/>
    <row r="71" spans="1:14" ht="15.75">
      <c r="A71" s="1293" t="s">
        <v>468</v>
      </c>
      <c r="B71" s="1294"/>
      <c r="C71" s="1294"/>
      <c r="D71" s="1294"/>
      <c r="E71" s="1294"/>
      <c r="F71" s="1294"/>
    </row>
    <row r="72" spans="1:14" ht="15.75" thickBot="1"/>
    <row r="73" spans="1:14" ht="19.899999999999999" customHeight="1" thickTop="1" thickBot="1">
      <c r="A73" s="1286">
        <v>2010</v>
      </c>
      <c r="B73" s="1287"/>
      <c r="C73" s="747"/>
      <c r="D73" s="747"/>
      <c r="E73" s="748"/>
      <c r="F73" s="749"/>
    </row>
    <row r="74" spans="1:14" ht="19.899999999999999" customHeight="1">
      <c r="A74" s="750" t="s">
        <v>120</v>
      </c>
      <c r="B74" s="751">
        <v>30887</v>
      </c>
      <c r="C74" s="307"/>
      <c r="D74" s="307"/>
      <c r="E74" s="752"/>
      <c r="F74" s="753"/>
    </row>
    <row r="75" spans="1:14" ht="19.899999999999999" customHeight="1">
      <c r="A75" s="754" t="s">
        <v>469</v>
      </c>
      <c r="B75" s="755">
        <v>2235</v>
      </c>
      <c r="C75" s="307"/>
      <c r="D75" s="307"/>
      <c r="E75" s="752"/>
      <c r="F75" s="753"/>
    </row>
    <row r="76" spans="1:14" ht="19.899999999999999" customHeight="1">
      <c r="A76" s="756" t="s">
        <v>470</v>
      </c>
      <c r="B76" s="757">
        <f>B74/B75</f>
        <v>13.819686800894855</v>
      </c>
      <c r="C76" s="1283" t="s">
        <v>471</v>
      </c>
      <c r="D76" s="1284"/>
      <c r="E76" s="1284"/>
      <c r="F76" s="1285"/>
    </row>
    <row r="77" spans="1:14" ht="19.899999999999999" customHeight="1">
      <c r="A77" s="754"/>
      <c r="B77" s="502"/>
      <c r="C77" s="1284"/>
      <c r="D77" s="1284"/>
      <c r="E77" s="1284"/>
      <c r="F77" s="1285"/>
    </row>
    <row r="78" spans="1:14" ht="19.899999999999999" customHeight="1">
      <c r="A78" s="754" t="s">
        <v>123</v>
      </c>
      <c r="B78" s="758">
        <v>35340</v>
      </c>
      <c r="C78" s="307"/>
      <c r="D78" s="307"/>
      <c r="E78" s="752"/>
      <c r="F78" s="753"/>
    </row>
    <row r="79" spans="1:14" ht="19.899999999999999" customHeight="1">
      <c r="A79" s="754" t="s">
        <v>469</v>
      </c>
      <c r="B79" s="759">
        <v>2235</v>
      </c>
      <c r="C79" s="307"/>
      <c r="D79" s="307"/>
      <c r="E79" s="752"/>
      <c r="F79" s="753"/>
    </row>
    <row r="80" spans="1:14" ht="19.899999999999999" customHeight="1">
      <c r="A80" s="754" t="s">
        <v>124</v>
      </c>
      <c r="B80" s="758">
        <v>15.812080536912752</v>
      </c>
      <c r="C80" s="307"/>
      <c r="D80" s="307"/>
      <c r="E80" s="752"/>
      <c r="F80" s="753"/>
    </row>
    <row r="81" spans="1:6" ht="19.899999999999999" customHeight="1" thickBot="1">
      <c r="A81" s="760"/>
      <c r="B81" s="761"/>
      <c r="C81" s="307"/>
      <c r="D81" s="307"/>
      <c r="E81" s="752"/>
      <c r="F81" s="753"/>
    </row>
    <row r="82" spans="1:6" ht="19.899999999999999" customHeight="1" thickBot="1">
      <c r="A82" s="762" t="s">
        <v>472</v>
      </c>
      <c r="B82" s="763">
        <v>3663.880000000006</v>
      </c>
      <c r="C82" s="764"/>
      <c r="D82" s="764"/>
      <c r="E82" s="765"/>
      <c r="F82" s="766"/>
    </row>
    <row r="83" spans="1:6" ht="30" customHeight="1" thickTop="1" thickBot="1"/>
    <row r="84" spans="1:6" ht="19.899999999999999" customHeight="1" thickTop="1" thickBot="1">
      <c r="A84" s="1286">
        <v>2011</v>
      </c>
      <c r="B84" s="1287"/>
      <c r="C84" s="747"/>
      <c r="D84" s="747"/>
      <c r="E84" s="748"/>
      <c r="F84" s="749"/>
    </row>
    <row r="85" spans="1:6" ht="19.899999999999999" customHeight="1">
      <c r="A85" s="750" t="s">
        <v>120</v>
      </c>
      <c r="B85" s="751">
        <v>95700</v>
      </c>
      <c r="C85" s="307"/>
      <c r="D85" s="307"/>
      <c r="E85" s="752"/>
      <c r="F85" s="753"/>
    </row>
    <row r="86" spans="1:6" ht="19.899999999999999" customHeight="1">
      <c r="A86" s="754" t="s">
        <v>469</v>
      </c>
      <c r="B86" s="755">
        <v>5500</v>
      </c>
      <c r="C86" s="307"/>
      <c r="D86" s="307"/>
      <c r="E86" s="752"/>
      <c r="F86" s="753"/>
    </row>
    <row r="87" spans="1:6" ht="19.899999999999999" customHeight="1">
      <c r="A87" s="756" t="s">
        <v>473</v>
      </c>
      <c r="B87" s="757">
        <f>B85/B86</f>
        <v>17.399999999999999</v>
      </c>
      <c r="C87" s="1283" t="s">
        <v>471</v>
      </c>
      <c r="D87" s="1284"/>
      <c r="E87" s="1284"/>
      <c r="F87" s="1285"/>
    </row>
    <row r="88" spans="1:6" ht="19.899999999999999" customHeight="1">
      <c r="A88" s="754"/>
      <c r="B88" s="502"/>
      <c r="C88" s="1284"/>
      <c r="D88" s="1284"/>
      <c r="E88" s="1284"/>
      <c r="F88" s="1285"/>
    </row>
    <row r="89" spans="1:6" ht="19.899999999999999" customHeight="1">
      <c r="A89" s="754" t="s">
        <v>123</v>
      </c>
      <c r="B89" s="758">
        <v>110100</v>
      </c>
      <c r="C89" s="307"/>
      <c r="D89" s="307"/>
      <c r="E89" s="752"/>
      <c r="F89" s="753"/>
    </row>
    <row r="90" spans="1:6" ht="19.899999999999999" customHeight="1">
      <c r="A90" s="754" t="s">
        <v>469</v>
      </c>
      <c r="B90" s="759">
        <v>5500</v>
      </c>
      <c r="C90" s="307"/>
      <c r="D90" s="307"/>
      <c r="E90" s="752"/>
      <c r="F90" s="753"/>
    </row>
    <row r="91" spans="1:6" ht="19.899999999999999" customHeight="1">
      <c r="A91" s="754" t="s">
        <v>124</v>
      </c>
      <c r="B91" s="758">
        <f>B89/B90</f>
        <v>20.018181818181819</v>
      </c>
      <c r="C91" s="307"/>
      <c r="D91" s="307"/>
      <c r="E91" s="752"/>
      <c r="F91" s="753"/>
    </row>
    <row r="92" spans="1:6" ht="19.899999999999999" customHeight="1" thickBot="1">
      <c r="A92" s="760"/>
      <c r="B92" s="761"/>
      <c r="C92" s="307"/>
      <c r="D92" s="307"/>
      <c r="E92" s="752"/>
      <c r="F92" s="753"/>
    </row>
    <row r="93" spans="1:6" ht="19.899999999999999" customHeight="1" thickBot="1">
      <c r="A93" s="762" t="s">
        <v>472</v>
      </c>
      <c r="B93" s="763">
        <v>0</v>
      </c>
      <c r="C93" s="764"/>
      <c r="D93" s="764"/>
      <c r="E93" s="765"/>
      <c r="F93" s="766"/>
    </row>
    <row r="94" spans="1:6" ht="15.75" thickTop="1"/>
  </sheetData>
  <sheetProtection selectLockedCells="1"/>
  <mergeCells count="9">
    <mergeCell ref="C76:F77"/>
    <mergeCell ref="A84:B84"/>
    <mergeCell ref="C87:F88"/>
    <mergeCell ref="A1:F1"/>
    <mergeCell ref="G1:N1"/>
    <mergeCell ref="A33:N33"/>
    <mergeCell ref="A66:N66"/>
    <mergeCell ref="A71:F71"/>
    <mergeCell ref="A73:B73"/>
  </mergeCells>
  <pageMargins left="3.937007874015748E-2" right="3.937007874015748E-2" top="3.937007874015748E-2" bottom="3.937007874015748E-2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8"/>
  <sheetViews>
    <sheetView showGridLines="0" showRowColHeader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9" sqref="T9"/>
    </sheetView>
  </sheetViews>
  <sheetFormatPr baseColWidth="10" defaultColWidth="11.42578125" defaultRowHeight="15"/>
  <cols>
    <col min="1" max="1" width="7.42578125" style="1055" customWidth="1"/>
    <col min="2" max="2" width="24" style="1060" customWidth="1"/>
    <col min="3" max="3" width="20.5703125" style="1055" customWidth="1"/>
    <col min="4" max="4" width="12.5703125" style="1055" customWidth="1"/>
    <col min="5" max="5" width="34.140625" style="1055" customWidth="1"/>
    <col min="6" max="6" width="15.28515625" style="1055" customWidth="1"/>
    <col min="7" max="7" width="12" style="1055" customWidth="1"/>
    <col min="8" max="8" width="17.28515625" style="1055" customWidth="1"/>
    <col min="9" max="9" width="12.42578125" style="1055" customWidth="1"/>
    <col min="10" max="10" width="27.5703125" style="1055" customWidth="1"/>
    <col min="11" max="11" width="22.7109375" style="1055" customWidth="1"/>
    <col min="12" max="12" width="30.28515625" style="1055" customWidth="1"/>
    <col min="13" max="13" width="17.28515625" style="1055" customWidth="1"/>
    <col min="14" max="14" width="32.5703125" style="1055" customWidth="1"/>
    <col min="15" max="15" width="22" style="1055" customWidth="1"/>
    <col min="16" max="16" width="11.28515625" style="1061" customWidth="1"/>
    <col min="17" max="17" width="14.42578125" style="1055" customWidth="1"/>
    <col min="18" max="18" width="18.85546875" style="1055" customWidth="1"/>
    <col min="19" max="19" width="16.28515625" style="1055" customWidth="1"/>
    <col min="20" max="20" width="60.5703125" style="1055" customWidth="1"/>
    <col min="21" max="16384" width="11.42578125" style="1055"/>
  </cols>
  <sheetData>
    <row r="1" spans="1:20" s="1046" customFormat="1" ht="11.45" customHeight="1" thickTop="1" thickBot="1">
      <c r="A1" s="1158" t="s">
        <v>595</v>
      </c>
      <c r="B1" s="1159"/>
      <c r="C1" s="1159"/>
      <c r="D1" s="1159"/>
      <c r="E1" s="1159"/>
      <c r="F1" s="1159"/>
      <c r="G1" s="1159"/>
      <c r="H1" s="1159"/>
      <c r="I1" s="1160" t="s">
        <v>595</v>
      </c>
      <c r="J1" s="1160"/>
      <c r="K1" s="1160"/>
      <c r="L1" s="1160"/>
      <c r="M1" s="1160"/>
      <c r="N1" s="1160"/>
      <c r="O1" s="1160" t="s">
        <v>595</v>
      </c>
      <c r="P1" s="1160"/>
      <c r="Q1" s="1160"/>
      <c r="R1" s="1160"/>
      <c r="S1" s="1160"/>
      <c r="T1" s="1161"/>
    </row>
    <row r="2" spans="1:20" s="1053" customFormat="1" ht="44.45" customHeight="1" thickTop="1">
      <c r="A2" s="1047" t="s">
        <v>596</v>
      </c>
      <c r="B2" s="1048" t="s">
        <v>605</v>
      </c>
      <c r="C2" s="1048" t="s">
        <v>515</v>
      </c>
      <c r="D2" s="1048" t="s">
        <v>604</v>
      </c>
      <c r="E2" s="1048" t="s">
        <v>42</v>
      </c>
      <c r="F2" s="1048" t="s">
        <v>516</v>
      </c>
      <c r="G2" s="1049" t="s">
        <v>517</v>
      </c>
      <c r="H2" s="1048" t="s">
        <v>518</v>
      </c>
      <c r="I2" s="1050" t="s">
        <v>519</v>
      </c>
      <c r="J2" s="1050" t="s">
        <v>520</v>
      </c>
      <c r="K2" s="1048" t="s">
        <v>521</v>
      </c>
      <c r="L2" s="1048" t="s">
        <v>522</v>
      </c>
      <c r="M2" s="1048" t="s">
        <v>523</v>
      </c>
      <c r="N2" s="1048" t="s">
        <v>524</v>
      </c>
      <c r="O2" s="1048" t="s">
        <v>525</v>
      </c>
      <c r="P2" s="1051" t="s">
        <v>526</v>
      </c>
      <c r="Q2" s="1048" t="s">
        <v>527</v>
      </c>
      <c r="R2" s="1048" t="s">
        <v>528</v>
      </c>
      <c r="S2" s="1048" t="s">
        <v>529</v>
      </c>
      <c r="T2" s="1052" t="s">
        <v>530</v>
      </c>
    </row>
    <row r="3" spans="1:20" ht="42" customHeight="1" thickBot="1">
      <c r="A3" s="1054">
        <v>1</v>
      </c>
      <c r="B3" s="1010" t="s">
        <v>531</v>
      </c>
      <c r="C3" s="1011"/>
      <c r="D3" s="1011"/>
      <c r="E3" s="1012" t="s">
        <v>598</v>
      </c>
      <c r="F3" s="1012"/>
      <c r="G3" s="1012"/>
      <c r="H3" s="1012" t="s">
        <v>532</v>
      </c>
      <c r="I3" s="1012" t="s">
        <v>533</v>
      </c>
      <c r="J3" s="1012" t="s">
        <v>534</v>
      </c>
      <c r="K3" s="1012" t="s">
        <v>535</v>
      </c>
      <c r="L3" s="1012" t="s">
        <v>536</v>
      </c>
      <c r="M3" s="1012"/>
      <c r="N3" s="1012"/>
      <c r="O3" s="1013">
        <v>31689</v>
      </c>
      <c r="P3" s="1014">
        <v>24</v>
      </c>
      <c r="Q3" s="1013">
        <v>40392</v>
      </c>
      <c r="R3" s="1013"/>
      <c r="S3" s="1013">
        <v>40575</v>
      </c>
      <c r="T3" s="1015" t="s">
        <v>537</v>
      </c>
    </row>
    <row r="4" spans="1:20" ht="42" customHeight="1" thickTop="1" thickBot="1">
      <c r="A4" s="1056">
        <v>2</v>
      </c>
      <c r="B4" s="1016" t="s">
        <v>538</v>
      </c>
      <c r="C4" s="1017"/>
      <c r="D4" s="1017"/>
      <c r="E4" s="1017"/>
      <c r="F4" s="1017"/>
      <c r="G4" s="1017"/>
      <c r="H4" s="1018" t="s">
        <v>539</v>
      </c>
      <c r="I4" s="1018"/>
      <c r="J4" s="1018" t="s">
        <v>540</v>
      </c>
      <c r="K4" s="1018" t="s">
        <v>541</v>
      </c>
      <c r="L4" s="1018"/>
      <c r="M4" s="1018"/>
      <c r="N4" s="1018"/>
      <c r="O4" s="1019">
        <v>25558</v>
      </c>
      <c r="P4" s="1020">
        <v>41</v>
      </c>
      <c r="Q4" s="1019">
        <v>40392</v>
      </c>
      <c r="R4" s="1019"/>
      <c r="S4" s="1019">
        <v>40575</v>
      </c>
      <c r="T4" s="1021" t="s">
        <v>542</v>
      </c>
    </row>
    <row r="5" spans="1:20" ht="42" customHeight="1" thickTop="1" thickBot="1">
      <c r="A5" s="1056">
        <v>3</v>
      </c>
      <c r="B5" s="1016" t="s">
        <v>606</v>
      </c>
      <c r="C5" s="1017"/>
      <c r="D5" s="1019">
        <v>40612</v>
      </c>
      <c r="E5" s="1018" t="s">
        <v>543</v>
      </c>
      <c r="F5" s="1017"/>
      <c r="G5" s="1017"/>
      <c r="H5" s="1018" t="s">
        <v>532</v>
      </c>
      <c r="I5" s="1018"/>
      <c r="J5" s="1018" t="s">
        <v>540</v>
      </c>
      <c r="K5" s="1018" t="s">
        <v>544</v>
      </c>
      <c r="L5" s="1018"/>
      <c r="M5" s="1018"/>
      <c r="N5" s="1018" t="s">
        <v>545</v>
      </c>
      <c r="O5" s="1019">
        <v>21790</v>
      </c>
      <c r="P5" s="1020">
        <v>51</v>
      </c>
      <c r="Q5" s="1019">
        <v>40455</v>
      </c>
      <c r="R5" s="1019"/>
      <c r="S5" s="1019">
        <v>40636</v>
      </c>
      <c r="T5" s="1021" t="s">
        <v>546</v>
      </c>
    </row>
    <row r="6" spans="1:20" ht="42" customHeight="1" thickTop="1" thickBot="1">
      <c r="A6" s="1056">
        <v>4</v>
      </c>
      <c r="B6" s="1016" t="s">
        <v>607</v>
      </c>
      <c r="C6" s="1017"/>
      <c r="D6" s="1019">
        <v>40612</v>
      </c>
      <c r="E6" s="1018" t="s">
        <v>547</v>
      </c>
      <c r="F6" s="1018" t="s">
        <v>548</v>
      </c>
      <c r="G6" s="1018" t="s">
        <v>549</v>
      </c>
      <c r="H6" s="1018" t="s">
        <v>550</v>
      </c>
      <c r="I6" s="1018" t="s">
        <v>551</v>
      </c>
      <c r="J6" s="1018" t="s">
        <v>551</v>
      </c>
      <c r="K6" s="1018" t="s">
        <v>552</v>
      </c>
      <c r="L6" s="1018" t="s">
        <v>553</v>
      </c>
      <c r="M6" s="1018"/>
      <c r="N6" s="1018" t="s">
        <v>554</v>
      </c>
      <c r="O6" s="1019">
        <v>29768</v>
      </c>
      <c r="P6" s="1020">
        <v>29</v>
      </c>
      <c r="Q6" s="1019">
        <v>40507</v>
      </c>
      <c r="R6" s="1019">
        <v>40688</v>
      </c>
      <c r="S6" s="1019">
        <v>40771</v>
      </c>
      <c r="T6" s="1022" t="s">
        <v>555</v>
      </c>
    </row>
    <row r="7" spans="1:20" ht="42" customHeight="1" thickTop="1" thickBot="1">
      <c r="A7" s="1056">
        <v>5</v>
      </c>
      <c r="B7" s="1016" t="s">
        <v>608</v>
      </c>
      <c r="C7" s="1023" t="s">
        <v>556</v>
      </c>
      <c r="D7" s="1019">
        <v>40612</v>
      </c>
      <c r="E7" s="1024" t="s">
        <v>597</v>
      </c>
      <c r="F7" s="1018"/>
      <c r="G7" s="1018" t="s">
        <v>549</v>
      </c>
      <c r="H7" s="1018" t="s">
        <v>557</v>
      </c>
      <c r="I7" s="1018" t="s">
        <v>551</v>
      </c>
      <c r="J7" s="1018" t="s">
        <v>558</v>
      </c>
      <c r="K7" s="1018"/>
      <c r="L7" s="1018" t="s">
        <v>559</v>
      </c>
      <c r="M7" s="1018"/>
      <c r="N7" s="1018"/>
      <c r="O7" s="1019">
        <v>30648</v>
      </c>
      <c r="P7" s="1020">
        <v>27</v>
      </c>
      <c r="Q7" s="1019">
        <v>40577</v>
      </c>
      <c r="R7" s="1019">
        <v>40758</v>
      </c>
      <c r="S7" s="1019">
        <v>40941</v>
      </c>
      <c r="T7" s="1021"/>
    </row>
    <row r="8" spans="1:20" ht="42" customHeight="1" thickTop="1" thickBot="1">
      <c r="A8" s="1056">
        <v>6</v>
      </c>
      <c r="B8" s="1016" t="s">
        <v>609</v>
      </c>
      <c r="C8" s="1023" t="s">
        <v>560</v>
      </c>
      <c r="D8" s="1019">
        <v>40612</v>
      </c>
      <c r="E8" s="1024" t="s">
        <v>599</v>
      </c>
      <c r="F8" s="1018" t="s">
        <v>561</v>
      </c>
      <c r="G8" s="1018" t="s">
        <v>562</v>
      </c>
      <c r="H8" s="1018" t="s">
        <v>532</v>
      </c>
      <c r="I8" s="1018"/>
      <c r="J8" s="1018" t="s">
        <v>563</v>
      </c>
      <c r="K8" s="1018"/>
      <c r="L8" s="1018" t="s">
        <v>536</v>
      </c>
      <c r="M8" s="1018"/>
      <c r="N8" s="1018"/>
      <c r="O8" s="1019">
        <v>31885</v>
      </c>
      <c r="P8" s="1020">
        <v>23</v>
      </c>
      <c r="Q8" s="1019">
        <v>40581</v>
      </c>
      <c r="R8" s="1019">
        <v>40762</v>
      </c>
      <c r="S8" s="1019">
        <v>40945</v>
      </c>
      <c r="T8" s="1021"/>
    </row>
    <row r="9" spans="1:20" ht="42" customHeight="1" thickTop="1" thickBot="1">
      <c r="A9" s="1056">
        <v>7</v>
      </c>
      <c r="B9" s="1016" t="s">
        <v>610</v>
      </c>
      <c r="C9" s="1024" t="s">
        <v>621</v>
      </c>
      <c r="D9" s="1023"/>
      <c r="E9" s="1018" t="s">
        <v>600</v>
      </c>
      <c r="F9" s="1018" t="s">
        <v>564</v>
      </c>
      <c r="G9" s="1018" t="s">
        <v>549</v>
      </c>
      <c r="H9" s="1018" t="s">
        <v>532</v>
      </c>
      <c r="I9" s="1018"/>
      <c r="J9" s="1018" t="s">
        <v>563</v>
      </c>
      <c r="K9" s="1018"/>
      <c r="L9" s="1018" t="s">
        <v>565</v>
      </c>
      <c r="M9" s="1018"/>
      <c r="N9" s="1018" t="s">
        <v>545</v>
      </c>
      <c r="O9" s="1019">
        <v>33002</v>
      </c>
      <c r="P9" s="1020">
        <v>20</v>
      </c>
      <c r="Q9" s="1019">
        <v>40632</v>
      </c>
      <c r="R9" s="1019">
        <v>40816</v>
      </c>
      <c r="S9" s="1019">
        <v>40997</v>
      </c>
      <c r="T9" s="1021"/>
    </row>
    <row r="10" spans="1:20" ht="42" customHeight="1" thickTop="1" thickBot="1">
      <c r="A10" s="1056">
        <v>8</v>
      </c>
      <c r="B10" s="1016" t="s">
        <v>611</v>
      </c>
      <c r="C10" s="1024" t="s">
        <v>622</v>
      </c>
      <c r="D10" s="1025">
        <v>40682</v>
      </c>
      <c r="E10" s="1023" t="s">
        <v>566</v>
      </c>
      <c r="F10" s="1018" t="s">
        <v>567</v>
      </c>
      <c r="G10" s="1018" t="s">
        <v>568</v>
      </c>
      <c r="H10" s="1018" t="s">
        <v>539</v>
      </c>
      <c r="I10" s="1018"/>
      <c r="J10" s="1018" t="s">
        <v>569</v>
      </c>
      <c r="K10" s="1018"/>
      <c r="L10" s="1018" t="s">
        <v>570</v>
      </c>
      <c r="M10" s="1018"/>
      <c r="N10" s="1018" t="s">
        <v>571</v>
      </c>
      <c r="O10" s="1019">
        <v>20825</v>
      </c>
      <c r="P10" s="1020">
        <v>54</v>
      </c>
      <c r="Q10" s="1019">
        <v>40672</v>
      </c>
      <c r="R10" s="1019">
        <v>40855</v>
      </c>
      <c r="S10" s="1018"/>
      <c r="T10" s="1022"/>
    </row>
    <row r="11" spans="1:20" ht="42" customHeight="1" thickTop="1" thickBot="1">
      <c r="A11" s="1056">
        <v>9</v>
      </c>
      <c r="B11" s="1016" t="s">
        <v>620</v>
      </c>
      <c r="C11" s="1023" t="s">
        <v>572</v>
      </c>
      <c r="D11" s="1025">
        <v>40682</v>
      </c>
      <c r="E11" s="1024" t="s">
        <v>601</v>
      </c>
      <c r="F11" s="1018"/>
      <c r="G11" s="1018" t="s">
        <v>549</v>
      </c>
      <c r="H11" s="1018" t="s">
        <v>532</v>
      </c>
      <c r="I11" s="1018"/>
      <c r="J11" s="1018" t="s">
        <v>573</v>
      </c>
      <c r="K11" s="1018"/>
      <c r="L11" s="1018" t="s">
        <v>574</v>
      </c>
      <c r="M11" s="1018"/>
      <c r="N11" s="1018" t="s">
        <v>575</v>
      </c>
      <c r="O11" s="1019">
        <v>26338</v>
      </c>
      <c r="P11" s="1020">
        <v>39</v>
      </c>
      <c r="Q11" s="1019">
        <v>40721</v>
      </c>
      <c r="R11" s="1018"/>
      <c r="S11" s="1019" t="s">
        <v>576</v>
      </c>
      <c r="T11" s="1021"/>
    </row>
    <row r="12" spans="1:20" ht="42" customHeight="1" thickTop="1" thickBot="1">
      <c r="A12" s="1056">
        <v>10</v>
      </c>
      <c r="B12" s="1016" t="s">
        <v>612</v>
      </c>
      <c r="C12" s="1023" t="s">
        <v>577</v>
      </c>
      <c r="D12" s="1023"/>
      <c r="E12" s="1018" t="s">
        <v>578</v>
      </c>
      <c r="F12" s="1018"/>
      <c r="G12" s="1018" t="s">
        <v>549</v>
      </c>
      <c r="H12" s="1018" t="s">
        <v>532</v>
      </c>
      <c r="I12" s="1018"/>
      <c r="J12" s="1018" t="s">
        <v>563</v>
      </c>
      <c r="K12" s="1018"/>
      <c r="L12" s="1018" t="s">
        <v>579</v>
      </c>
      <c r="M12" s="1018"/>
      <c r="N12" s="1018"/>
      <c r="O12" s="1018"/>
      <c r="P12" s="1020"/>
      <c r="Q12" s="1019">
        <v>40728</v>
      </c>
      <c r="R12" s="1019">
        <v>40911</v>
      </c>
      <c r="S12" s="1019"/>
      <c r="T12" s="1021"/>
    </row>
    <row r="13" spans="1:20" ht="42" customHeight="1" thickTop="1" thickBot="1">
      <c r="A13" s="1056">
        <v>11</v>
      </c>
      <c r="B13" s="1016" t="s">
        <v>613</v>
      </c>
      <c r="C13" s="1018"/>
      <c r="D13" s="1023"/>
      <c r="E13" s="1018"/>
      <c r="F13" s="1018"/>
      <c r="G13" s="1018"/>
      <c r="H13" s="1018" t="s">
        <v>539</v>
      </c>
      <c r="I13" s="1018" t="s">
        <v>551</v>
      </c>
      <c r="J13" s="1018" t="s">
        <v>580</v>
      </c>
      <c r="K13" s="1018"/>
      <c r="L13" s="1018"/>
      <c r="M13" s="1018"/>
      <c r="N13" s="1018"/>
      <c r="O13" s="1019">
        <v>40745</v>
      </c>
      <c r="P13" s="1020">
        <v>52</v>
      </c>
      <c r="Q13" s="1019"/>
      <c r="R13" s="1019"/>
      <c r="S13" s="1019">
        <v>40745</v>
      </c>
      <c r="T13" s="1021" t="s">
        <v>581</v>
      </c>
    </row>
    <row r="14" spans="1:20" ht="42" customHeight="1" thickTop="1" thickBot="1">
      <c r="A14" s="1056">
        <v>12</v>
      </c>
      <c r="B14" s="1016" t="s">
        <v>614</v>
      </c>
      <c r="C14" s="1023" t="s">
        <v>582</v>
      </c>
      <c r="D14" s="1023"/>
      <c r="E14" s="1018" t="s">
        <v>602</v>
      </c>
      <c r="F14" s="1018"/>
      <c r="G14" s="1018" t="s">
        <v>549</v>
      </c>
      <c r="H14" s="1018" t="s">
        <v>539</v>
      </c>
      <c r="I14" s="1017" t="s">
        <v>551</v>
      </c>
      <c r="J14" s="1018" t="s">
        <v>551</v>
      </c>
      <c r="K14" s="1018" t="s">
        <v>583</v>
      </c>
      <c r="L14" s="1018" t="s">
        <v>584</v>
      </c>
      <c r="M14" s="1018"/>
      <c r="N14" s="1018"/>
      <c r="O14" s="1018"/>
      <c r="P14" s="1020"/>
      <c r="Q14" s="1019">
        <v>40819</v>
      </c>
      <c r="R14" s="1019">
        <v>41001</v>
      </c>
      <c r="S14" s="1018"/>
      <c r="T14" s="1022"/>
    </row>
    <row r="15" spans="1:20" ht="42" customHeight="1" thickTop="1" thickBot="1">
      <c r="A15" s="1056">
        <v>13</v>
      </c>
      <c r="B15" s="1016" t="s">
        <v>615</v>
      </c>
      <c r="C15" s="1023" t="s">
        <v>585</v>
      </c>
      <c r="D15" s="1023"/>
      <c r="E15" s="1023" t="s">
        <v>586</v>
      </c>
      <c r="F15" s="1018"/>
      <c r="G15" s="1018" t="s">
        <v>562</v>
      </c>
      <c r="H15" s="1018" t="s">
        <v>557</v>
      </c>
      <c r="I15" s="1026"/>
      <c r="J15" s="1018" t="s">
        <v>587</v>
      </c>
      <c r="K15" s="1026"/>
      <c r="L15" s="1018" t="s">
        <v>588</v>
      </c>
      <c r="M15" s="1018"/>
      <c r="N15" s="1018"/>
      <c r="O15" s="1019">
        <v>30217</v>
      </c>
      <c r="P15" s="1020">
        <v>29</v>
      </c>
      <c r="Q15" s="1019">
        <v>40822</v>
      </c>
      <c r="R15" s="1019">
        <v>41004</v>
      </c>
      <c r="S15" s="1018"/>
      <c r="T15" s="1022"/>
    </row>
    <row r="16" spans="1:20" ht="42" customHeight="1" thickTop="1" thickBot="1">
      <c r="A16" s="1057">
        <v>14</v>
      </c>
      <c r="B16" s="1027" t="s">
        <v>616</v>
      </c>
      <c r="C16" s="1028"/>
      <c r="D16" s="1028"/>
      <c r="E16" s="1028"/>
      <c r="F16" s="1028"/>
      <c r="G16" s="1028" t="s">
        <v>589</v>
      </c>
      <c r="H16" s="1028" t="s">
        <v>532</v>
      </c>
      <c r="I16" s="1029"/>
      <c r="J16" s="1028" t="s">
        <v>563</v>
      </c>
      <c r="K16" s="1028"/>
      <c r="L16" s="1028" t="s">
        <v>584</v>
      </c>
      <c r="M16" s="1028"/>
      <c r="N16" s="1028"/>
      <c r="O16" s="1028"/>
      <c r="P16" s="1030"/>
      <c r="Q16" s="1031">
        <v>40868</v>
      </c>
      <c r="R16" s="1031"/>
      <c r="S16" s="1028"/>
      <c r="T16" s="1032"/>
    </row>
    <row r="17" spans="1:20" ht="42" customHeight="1" thickTop="1" thickBot="1">
      <c r="A17" s="1058">
        <v>15</v>
      </c>
      <c r="B17" s="1033" t="s">
        <v>617</v>
      </c>
      <c r="C17" s="1034" t="s">
        <v>625</v>
      </c>
      <c r="D17" s="1035">
        <v>40612</v>
      </c>
      <c r="E17" s="1034"/>
      <c r="F17" s="1034"/>
      <c r="G17" s="1034" t="s">
        <v>568</v>
      </c>
      <c r="H17" s="1036"/>
      <c r="I17" s="1036"/>
      <c r="J17" s="1034" t="s">
        <v>590</v>
      </c>
      <c r="K17" s="1034"/>
      <c r="L17" s="1034"/>
      <c r="M17" s="1034"/>
      <c r="N17" s="1034"/>
      <c r="O17" s="1035">
        <v>27731</v>
      </c>
      <c r="P17" s="1037"/>
      <c r="Q17" s="1035">
        <v>40385</v>
      </c>
      <c r="R17" s="1035"/>
      <c r="S17" s="1034"/>
      <c r="T17" s="1038"/>
    </row>
    <row r="18" spans="1:20" ht="42" customHeight="1" thickTop="1" thickBot="1">
      <c r="A18" s="1057">
        <v>16</v>
      </c>
      <c r="B18" s="1027" t="s">
        <v>618</v>
      </c>
      <c r="C18" s="1028" t="s">
        <v>624</v>
      </c>
      <c r="D18" s="1031">
        <v>40655</v>
      </c>
      <c r="E18" s="1028" t="s">
        <v>603</v>
      </c>
      <c r="F18" s="1028"/>
      <c r="G18" s="1028" t="s">
        <v>562</v>
      </c>
      <c r="H18" s="1028"/>
      <c r="I18" s="1028"/>
      <c r="J18" s="1028" t="s">
        <v>591</v>
      </c>
      <c r="K18" s="1028"/>
      <c r="L18" s="1028"/>
      <c r="M18" s="1028"/>
      <c r="N18" s="1028"/>
      <c r="O18" s="1031">
        <v>25435</v>
      </c>
      <c r="P18" s="1030"/>
      <c r="Q18" s="1031">
        <v>40617</v>
      </c>
      <c r="R18" s="1031"/>
      <c r="S18" s="1028"/>
      <c r="T18" s="1032"/>
    </row>
    <row r="19" spans="1:20" ht="42" customHeight="1" thickTop="1" thickBot="1">
      <c r="A19" s="1058">
        <v>17</v>
      </c>
      <c r="B19" s="1033" t="s">
        <v>619</v>
      </c>
      <c r="C19" s="1034" t="s">
        <v>623</v>
      </c>
      <c r="D19" s="1035">
        <v>40681</v>
      </c>
      <c r="E19" s="1034" t="s">
        <v>592</v>
      </c>
      <c r="F19" s="1034"/>
      <c r="G19" s="1034" t="s">
        <v>593</v>
      </c>
      <c r="H19" s="1036"/>
      <c r="I19" s="1036"/>
      <c r="J19" s="1034" t="s">
        <v>594</v>
      </c>
      <c r="K19" s="1034"/>
      <c r="L19" s="1034"/>
      <c r="M19" s="1034"/>
      <c r="N19" s="1034"/>
      <c r="O19" s="1035">
        <v>27539</v>
      </c>
      <c r="P19" s="1037"/>
      <c r="Q19" s="1035"/>
      <c r="R19" s="1035"/>
      <c r="S19" s="1034"/>
      <c r="T19" s="1038"/>
    </row>
    <row r="20" spans="1:20" ht="42" customHeight="1" thickTop="1" thickBot="1">
      <c r="A20" s="1057">
        <v>18</v>
      </c>
      <c r="B20" s="1027"/>
      <c r="C20" s="1028"/>
      <c r="D20" s="1031"/>
      <c r="E20" s="1028"/>
      <c r="F20" s="1028"/>
      <c r="G20" s="1028"/>
      <c r="H20" s="1039"/>
      <c r="I20" s="1039"/>
      <c r="J20" s="1028"/>
      <c r="K20" s="1039"/>
      <c r="L20" s="1028"/>
      <c r="M20" s="1028"/>
      <c r="N20" s="1028"/>
      <c r="O20" s="1031"/>
      <c r="P20" s="1030"/>
      <c r="Q20" s="1028"/>
      <c r="R20" s="1031"/>
      <c r="S20" s="1028"/>
      <c r="T20" s="1032"/>
    </row>
    <row r="21" spans="1:20" ht="42" customHeight="1" thickTop="1" thickBot="1">
      <c r="A21" s="1058">
        <v>19</v>
      </c>
      <c r="B21" s="1033"/>
      <c r="C21" s="1034"/>
      <c r="D21" s="1035"/>
      <c r="E21" s="1034"/>
      <c r="F21" s="1034"/>
      <c r="G21" s="1034"/>
      <c r="H21" s="1036"/>
      <c r="I21" s="1036"/>
      <c r="J21" s="1034"/>
      <c r="K21" s="1034"/>
      <c r="L21" s="1034"/>
      <c r="M21" s="1034"/>
      <c r="N21" s="1034"/>
      <c r="O21" s="1035"/>
      <c r="P21" s="1037"/>
      <c r="Q21" s="1035"/>
      <c r="R21" s="1035"/>
      <c r="S21" s="1034"/>
      <c r="T21" s="1038"/>
    </row>
    <row r="22" spans="1:20" ht="42" customHeight="1" thickTop="1" thickBot="1">
      <c r="A22" s="1057">
        <v>20</v>
      </c>
      <c r="B22" s="1027"/>
      <c r="C22" s="1028"/>
      <c r="D22" s="1031"/>
      <c r="E22" s="1028"/>
      <c r="F22" s="1028"/>
      <c r="G22" s="1028"/>
      <c r="H22" s="1039"/>
      <c r="I22" s="1039"/>
      <c r="J22" s="1028"/>
      <c r="K22" s="1039"/>
      <c r="L22" s="1028"/>
      <c r="M22" s="1028"/>
      <c r="N22" s="1028"/>
      <c r="O22" s="1031"/>
      <c r="P22" s="1030"/>
      <c r="Q22" s="1028"/>
      <c r="R22" s="1031"/>
      <c r="S22" s="1028"/>
      <c r="T22" s="1032"/>
    </row>
    <row r="23" spans="1:20" ht="42" customHeight="1" thickTop="1" thickBot="1">
      <c r="A23" s="1058">
        <v>21</v>
      </c>
      <c r="B23" s="1033"/>
      <c r="C23" s="1034"/>
      <c r="D23" s="1035"/>
      <c r="E23" s="1034"/>
      <c r="F23" s="1034"/>
      <c r="G23" s="1034"/>
      <c r="H23" s="1036"/>
      <c r="I23" s="1036"/>
      <c r="J23" s="1034"/>
      <c r="K23" s="1034"/>
      <c r="L23" s="1034"/>
      <c r="M23" s="1034"/>
      <c r="N23" s="1034"/>
      <c r="O23" s="1035"/>
      <c r="P23" s="1037"/>
      <c r="Q23" s="1035"/>
      <c r="R23" s="1035"/>
      <c r="S23" s="1034"/>
      <c r="T23" s="1038"/>
    </row>
    <row r="24" spans="1:20" ht="42" customHeight="1" thickTop="1" thickBot="1">
      <c r="A24" s="1057">
        <v>22</v>
      </c>
      <c r="B24" s="1027"/>
      <c r="C24" s="1028"/>
      <c r="D24" s="1031"/>
      <c r="E24" s="1028"/>
      <c r="F24" s="1028"/>
      <c r="G24" s="1028"/>
      <c r="H24" s="1039"/>
      <c r="I24" s="1039"/>
      <c r="J24" s="1028"/>
      <c r="K24" s="1039"/>
      <c r="L24" s="1028"/>
      <c r="M24" s="1028"/>
      <c r="N24" s="1028"/>
      <c r="O24" s="1031"/>
      <c r="P24" s="1030"/>
      <c r="Q24" s="1028"/>
      <c r="R24" s="1031"/>
      <c r="S24" s="1028"/>
      <c r="T24" s="1032"/>
    </row>
    <row r="25" spans="1:20" ht="42" customHeight="1" thickTop="1" thickBot="1">
      <c r="A25" s="1058">
        <v>23</v>
      </c>
      <c r="B25" s="1033"/>
      <c r="C25" s="1034"/>
      <c r="D25" s="1035"/>
      <c r="E25" s="1034"/>
      <c r="F25" s="1034"/>
      <c r="G25" s="1034"/>
      <c r="H25" s="1036"/>
      <c r="I25" s="1036"/>
      <c r="J25" s="1034"/>
      <c r="K25" s="1034"/>
      <c r="L25" s="1034"/>
      <c r="M25" s="1034"/>
      <c r="N25" s="1034"/>
      <c r="O25" s="1035"/>
      <c r="P25" s="1037"/>
      <c r="Q25" s="1035"/>
      <c r="R25" s="1035"/>
      <c r="S25" s="1034"/>
      <c r="T25" s="1038"/>
    </row>
    <row r="26" spans="1:20" ht="42" customHeight="1" thickTop="1" thickBot="1">
      <c r="A26" s="1057">
        <v>24</v>
      </c>
      <c r="B26" s="1027"/>
      <c r="C26" s="1028"/>
      <c r="D26" s="1031"/>
      <c r="E26" s="1028"/>
      <c r="F26" s="1028"/>
      <c r="G26" s="1028"/>
      <c r="H26" s="1039"/>
      <c r="I26" s="1039"/>
      <c r="J26" s="1028"/>
      <c r="K26" s="1039"/>
      <c r="L26" s="1028"/>
      <c r="M26" s="1028"/>
      <c r="N26" s="1028"/>
      <c r="O26" s="1031"/>
      <c r="P26" s="1030"/>
      <c r="Q26" s="1028"/>
      <c r="R26" s="1031"/>
      <c r="S26" s="1028"/>
      <c r="T26" s="1032"/>
    </row>
    <row r="27" spans="1:20" ht="42" customHeight="1" thickTop="1" thickBot="1">
      <c r="A27" s="1059">
        <v>25</v>
      </c>
      <c r="B27" s="1040"/>
      <c r="C27" s="1041"/>
      <c r="D27" s="1042"/>
      <c r="E27" s="1041"/>
      <c r="F27" s="1041"/>
      <c r="G27" s="1041"/>
      <c r="H27" s="1043"/>
      <c r="I27" s="1043"/>
      <c r="J27" s="1041"/>
      <c r="K27" s="1041"/>
      <c r="L27" s="1041"/>
      <c r="M27" s="1041"/>
      <c r="N27" s="1041"/>
      <c r="O27" s="1042"/>
      <c r="P27" s="1044"/>
      <c r="Q27" s="1042"/>
      <c r="R27" s="1042"/>
      <c r="S27" s="1041"/>
      <c r="T27" s="1045"/>
    </row>
    <row r="28" spans="1:20" ht="15.75" thickTop="1"/>
  </sheetData>
  <sheetProtection password="E5BA" sheet="1" objects="1" scenarios="1" selectLockedCells="1" sort="0" autoFilter="0" pivotTables="0"/>
  <mergeCells count="3">
    <mergeCell ref="A1:H1"/>
    <mergeCell ref="I1:N1"/>
    <mergeCell ref="O1:T1"/>
  </mergeCells>
  <pageMargins left="3.937007874015748E-2" right="3.937007874015748E-2" top="3.937007874015748E-2" bottom="3.937007874015748E-2" header="0" footer="0"/>
  <pageSetup paperSize="9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showGridLines="0" showRowColHeader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3" sqref="E13"/>
    </sheetView>
  </sheetViews>
  <sheetFormatPr baseColWidth="10" defaultColWidth="11.42578125" defaultRowHeight="18"/>
  <cols>
    <col min="1" max="1" width="4.140625" style="66" customWidth="1"/>
    <col min="2" max="2" width="20.5703125" style="4" customWidth="1"/>
    <col min="3" max="3" width="6.7109375" style="4" customWidth="1"/>
    <col min="4" max="5" width="7.85546875" style="67" customWidth="1"/>
    <col min="6" max="6" width="4.85546875" style="67" customWidth="1"/>
    <col min="7" max="7" width="10.28515625" style="791" customWidth="1"/>
    <col min="8" max="8" width="7.85546875" style="67" customWidth="1"/>
    <col min="9" max="9" width="22.140625" style="64" customWidth="1"/>
    <col min="10" max="10" width="10.7109375" style="790" customWidth="1"/>
    <col min="11" max="11" width="1.7109375" style="94" customWidth="1"/>
    <col min="12" max="12" width="6.140625" style="65" customWidth="1"/>
    <col min="13" max="13" width="0" style="65" hidden="1" customWidth="1"/>
    <col min="14" max="14" width="1.7109375" style="94" customWidth="1"/>
    <col min="15" max="15" width="6.140625" style="65" customWidth="1"/>
    <col min="16" max="16" width="1.7109375" style="94" customWidth="1"/>
    <col min="17" max="17" width="6.140625" style="65" customWidth="1"/>
    <col min="18" max="18" width="6.42578125" style="783" customWidth="1"/>
    <col min="19" max="19" width="10" style="64" customWidth="1"/>
    <col min="20" max="16384" width="11.42578125" style="1"/>
  </cols>
  <sheetData>
    <row r="1" spans="1:19" s="68" customFormat="1" ht="35.25" customHeight="1" thickTop="1" thickBot="1">
      <c r="A1" s="1162" t="s">
        <v>48</v>
      </c>
      <c r="B1" s="1163"/>
      <c r="C1" s="818" t="s">
        <v>508</v>
      </c>
      <c r="D1" s="779" t="s">
        <v>61</v>
      </c>
      <c r="E1" s="792" t="s">
        <v>62</v>
      </c>
      <c r="F1" s="817" t="s">
        <v>503</v>
      </c>
      <c r="G1" s="805" t="s">
        <v>507</v>
      </c>
      <c r="H1" s="809" t="s">
        <v>47</v>
      </c>
      <c r="I1" s="95" t="s">
        <v>42</v>
      </c>
      <c r="J1" s="810" t="s">
        <v>505</v>
      </c>
      <c r="K1" s="1164" t="s">
        <v>58</v>
      </c>
      <c r="L1" s="1165"/>
      <c r="M1" s="96"/>
      <c r="N1" s="1166" t="s">
        <v>59</v>
      </c>
      <c r="O1" s="1165"/>
      <c r="P1" s="1166" t="s">
        <v>60</v>
      </c>
      <c r="Q1" s="1167"/>
      <c r="R1" s="819" t="s">
        <v>501</v>
      </c>
      <c r="S1" s="97" t="s">
        <v>502</v>
      </c>
    </row>
    <row r="2" spans="1:19" ht="29.1" customHeight="1" thickTop="1" thickBot="1">
      <c r="A2" s="80">
        <v>1</v>
      </c>
      <c r="B2" s="70" t="s">
        <v>41</v>
      </c>
      <c r="C2" s="787" t="s">
        <v>371</v>
      </c>
      <c r="D2" s="780">
        <v>40555</v>
      </c>
      <c r="E2" s="793"/>
      <c r="F2" s="780" t="s">
        <v>373</v>
      </c>
      <c r="G2" s="806" t="s">
        <v>506</v>
      </c>
      <c r="H2" s="811">
        <v>32927</v>
      </c>
      <c r="I2" s="71" t="s">
        <v>500</v>
      </c>
      <c r="J2" s="812" t="s">
        <v>504</v>
      </c>
      <c r="K2" s="796">
        <v>1</v>
      </c>
      <c r="L2" s="73">
        <v>9</v>
      </c>
      <c r="M2" s="73"/>
      <c r="N2" s="72"/>
      <c r="O2" s="73">
        <v>9.3000000000000007</v>
      </c>
      <c r="P2" s="72"/>
      <c r="Q2" s="797">
        <v>9.4499999999999993</v>
      </c>
      <c r="R2" s="802">
        <v>112.7</v>
      </c>
      <c r="S2" s="784">
        <f t="shared" ref="S2:S20" si="0">SUM((L2*K2*R2)+(O2*N2*R2)+(P2*Q2*R2))</f>
        <v>1014.3000000000001</v>
      </c>
    </row>
    <row r="3" spans="1:19" ht="29.1" customHeight="1" thickTop="1" thickBot="1">
      <c r="A3" s="81">
        <v>2</v>
      </c>
      <c r="B3" s="74" t="s">
        <v>1</v>
      </c>
      <c r="C3" s="788" t="s">
        <v>375</v>
      </c>
      <c r="D3" s="781">
        <v>40572</v>
      </c>
      <c r="E3" s="794"/>
      <c r="F3" s="781" t="s">
        <v>373</v>
      </c>
      <c r="G3" s="807" t="s">
        <v>506</v>
      </c>
      <c r="H3" s="813">
        <v>33313</v>
      </c>
      <c r="I3" s="112" t="s">
        <v>509</v>
      </c>
      <c r="J3" s="814" t="s">
        <v>511</v>
      </c>
      <c r="K3" s="798"/>
      <c r="L3" s="76">
        <v>9</v>
      </c>
      <c r="M3" s="76"/>
      <c r="N3" s="75">
        <v>1</v>
      </c>
      <c r="O3" s="76">
        <v>9.3000000000000007</v>
      </c>
      <c r="P3" s="75"/>
      <c r="Q3" s="799">
        <v>9.4499999999999993</v>
      </c>
      <c r="R3" s="803">
        <v>112.7</v>
      </c>
      <c r="S3" s="785">
        <f t="shared" si="0"/>
        <v>1048.1100000000001</v>
      </c>
    </row>
    <row r="4" spans="1:19" ht="29.1" customHeight="1" thickTop="1" thickBot="1">
      <c r="A4" s="81">
        <v>3</v>
      </c>
      <c r="B4" s="74" t="s">
        <v>2</v>
      </c>
      <c r="C4" s="788" t="s">
        <v>376</v>
      </c>
      <c r="D4" s="781">
        <v>40580</v>
      </c>
      <c r="E4" s="794"/>
      <c r="F4" s="781" t="s">
        <v>373</v>
      </c>
      <c r="G4" s="807" t="s">
        <v>506</v>
      </c>
      <c r="H4" s="813">
        <v>32851</v>
      </c>
      <c r="I4" s="112" t="s">
        <v>510</v>
      </c>
      <c r="J4" s="814" t="s">
        <v>512</v>
      </c>
      <c r="K4" s="798"/>
      <c r="L4" s="76">
        <v>9</v>
      </c>
      <c r="M4" s="76"/>
      <c r="N4" s="75"/>
      <c r="O4" s="76">
        <v>9.3000000000000007</v>
      </c>
      <c r="P4" s="75">
        <v>1</v>
      </c>
      <c r="Q4" s="799">
        <v>9.4499999999999993</v>
      </c>
      <c r="R4" s="803">
        <v>112.7</v>
      </c>
      <c r="S4" s="785">
        <f t="shared" si="0"/>
        <v>1065.0149999999999</v>
      </c>
    </row>
    <row r="5" spans="1:19" ht="29.1" customHeight="1" thickTop="1" thickBot="1">
      <c r="A5" s="81">
        <v>4</v>
      </c>
      <c r="B5" s="74" t="s">
        <v>3</v>
      </c>
      <c r="C5" s="788"/>
      <c r="D5" s="781"/>
      <c r="E5" s="794"/>
      <c r="F5" s="781"/>
      <c r="G5" s="807"/>
      <c r="H5" s="813"/>
      <c r="I5" s="112"/>
      <c r="J5" s="814"/>
      <c r="K5" s="798"/>
      <c r="L5" s="76"/>
      <c r="M5" s="76"/>
      <c r="N5" s="75"/>
      <c r="O5" s="76"/>
      <c r="P5" s="75"/>
      <c r="Q5" s="799"/>
      <c r="R5" s="803"/>
      <c r="S5" s="785">
        <f t="shared" si="0"/>
        <v>0</v>
      </c>
    </row>
    <row r="6" spans="1:19" ht="29.1" customHeight="1" thickTop="1" thickBot="1">
      <c r="A6" s="81">
        <v>5</v>
      </c>
      <c r="B6" s="74" t="s">
        <v>4</v>
      </c>
      <c r="C6" s="788"/>
      <c r="D6" s="781"/>
      <c r="E6" s="794"/>
      <c r="F6" s="781"/>
      <c r="G6" s="807"/>
      <c r="H6" s="813"/>
      <c r="I6" s="112"/>
      <c r="J6" s="814"/>
      <c r="K6" s="798"/>
      <c r="L6" s="76"/>
      <c r="M6" s="76"/>
      <c r="N6" s="75"/>
      <c r="O6" s="76"/>
      <c r="P6" s="75"/>
      <c r="Q6" s="799"/>
      <c r="R6" s="803"/>
      <c r="S6" s="785">
        <f t="shared" si="0"/>
        <v>0</v>
      </c>
    </row>
    <row r="7" spans="1:19" ht="29.1" customHeight="1" thickTop="1" thickBot="1">
      <c r="A7" s="81">
        <v>6</v>
      </c>
      <c r="B7" s="74" t="s">
        <v>5</v>
      </c>
      <c r="C7" s="788"/>
      <c r="D7" s="781"/>
      <c r="E7" s="794"/>
      <c r="F7" s="781"/>
      <c r="G7" s="807"/>
      <c r="H7" s="813"/>
      <c r="I7" s="112"/>
      <c r="J7" s="814"/>
      <c r="K7" s="798"/>
      <c r="L7" s="76"/>
      <c r="M7" s="76"/>
      <c r="N7" s="75"/>
      <c r="O7" s="76"/>
      <c r="P7" s="75"/>
      <c r="Q7" s="799"/>
      <c r="R7" s="803"/>
      <c r="S7" s="785">
        <f t="shared" si="0"/>
        <v>0</v>
      </c>
    </row>
    <row r="8" spans="1:19" ht="29.1" customHeight="1" thickTop="1" thickBot="1">
      <c r="A8" s="81">
        <v>7</v>
      </c>
      <c r="B8" s="74" t="s">
        <v>6</v>
      </c>
      <c r="C8" s="788"/>
      <c r="D8" s="781"/>
      <c r="E8" s="794"/>
      <c r="F8" s="781"/>
      <c r="G8" s="807"/>
      <c r="H8" s="813"/>
      <c r="I8" s="112"/>
      <c r="J8" s="814"/>
      <c r="K8" s="798"/>
      <c r="L8" s="76"/>
      <c r="M8" s="76"/>
      <c r="N8" s="75"/>
      <c r="O8" s="76"/>
      <c r="P8" s="75"/>
      <c r="Q8" s="799"/>
      <c r="R8" s="803"/>
      <c r="S8" s="785">
        <f t="shared" si="0"/>
        <v>0</v>
      </c>
    </row>
    <row r="9" spans="1:19" ht="29.1" customHeight="1" thickTop="1" thickBot="1">
      <c r="A9" s="81">
        <v>8</v>
      </c>
      <c r="B9" s="74" t="s">
        <v>7</v>
      </c>
      <c r="C9" s="788"/>
      <c r="D9" s="781"/>
      <c r="E9" s="794"/>
      <c r="F9" s="781"/>
      <c r="G9" s="807"/>
      <c r="H9" s="813"/>
      <c r="I9" s="112"/>
      <c r="J9" s="814"/>
      <c r="K9" s="798"/>
      <c r="L9" s="76"/>
      <c r="M9" s="76"/>
      <c r="N9" s="75"/>
      <c r="O9" s="76"/>
      <c r="P9" s="75"/>
      <c r="Q9" s="799"/>
      <c r="R9" s="803"/>
      <c r="S9" s="785">
        <f t="shared" si="0"/>
        <v>0</v>
      </c>
    </row>
    <row r="10" spans="1:19" ht="29.1" customHeight="1" thickTop="1" thickBot="1">
      <c r="A10" s="81">
        <v>9</v>
      </c>
      <c r="B10" s="74" t="s">
        <v>8</v>
      </c>
      <c r="C10" s="788"/>
      <c r="D10" s="781"/>
      <c r="E10" s="794"/>
      <c r="F10" s="781"/>
      <c r="G10" s="807"/>
      <c r="H10" s="813"/>
      <c r="I10" s="112"/>
      <c r="J10" s="814"/>
      <c r="K10" s="798"/>
      <c r="L10" s="76"/>
      <c r="M10" s="76"/>
      <c r="N10" s="75"/>
      <c r="O10" s="76"/>
      <c r="P10" s="75"/>
      <c r="Q10" s="799"/>
      <c r="R10" s="803"/>
      <c r="S10" s="785">
        <f t="shared" si="0"/>
        <v>0</v>
      </c>
    </row>
    <row r="11" spans="1:19" ht="29.1" customHeight="1" thickTop="1" thickBot="1">
      <c r="A11" s="81">
        <v>10</v>
      </c>
      <c r="B11" s="74" t="s">
        <v>9</v>
      </c>
      <c r="C11" s="788"/>
      <c r="D11" s="781"/>
      <c r="E11" s="794"/>
      <c r="F11" s="781"/>
      <c r="G11" s="807"/>
      <c r="H11" s="813"/>
      <c r="I11" s="112"/>
      <c r="J11" s="814"/>
      <c r="K11" s="798"/>
      <c r="L11" s="76"/>
      <c r="M11" s="76"/>
      <c r="N11" s="75"/>
      <c r="O11" s="76"/>
      <c r="P11" s="75"/>
      <c r="Q11" s="799"/>
      <c r="R11" s="803"/>
      <c r="S11" s="785">
        <f t="shared" si="0"/>
        <v>0</v>
      </c>
    </row>
    <row r="12" spans="1:19" ht="29.1" customHeight="1" thickTop="1" thickBot="1">
      <c r="A12" s="81">
        <v>11</v>
      </c>
      <c r="B12" s="74" t="s">
        <v>10</v>
      </c>
      <c r="C12" s="788"/>
      <c r="D12" s="781"/>
      <c r="E12" s="794"/>
      <c r="F12" s="781"/>
      <c r="G12" s="807"/>
      <c r="H12" s="813"/>
      <c r="I12" s="112"/>
      <c r="J12" s="814"/>
      <c r="K12" s="798"/>
      <c r="L12" s="76"/>
      <c r="M12" s="76"/>
      <c r="N12" s="75"/>
      <c r="O12" s="76"/>
      <c r="P12" s="75"/>
      <c r="Q12" s="799"/>
      <c r="R12" s="803"/>
      <c r="S12" s="785">
        <f t="shared" si="0"/>
        <v>0</v>
      </c>
    </row>
    <row r="13" spans="1:19" ht="29.1" customHeight="1" thickTop="1" thickBot="1">
      <c r="A13" s="81">
        <v>12</v>
      </c>
      <c r="B13" s="74" t="s">
        <v>11</v>
      </c>
      <c r="C13" s="788"/>
      <c r="D13" s="781"/>
      <c r="E13" s="794"/>
      <c r="F13" s="781"/>
      <c r="G13" s="807"/>
      <c r="H13" s="813"/>
      <c r="I13" s="112"/>
      <c r="J13" s="814"/>
      <c r="K13" s="798"/>
      <c r="L13" s="76"/>
      <c r="M13" s="76"/>
      <c r="N13" s="75"/>
      <c r="O13" s="76"/>
      <c r="P13" s="75"/>
      <c r="Q13" s="799"/>
      <c r="R13" s="803"/>
      <c r="S13" s="785">
        <f t="shared" si="0"/>
        <v>0</v>
      </c>
    </row>
    <row r="14" spans="1:19" ht="29.1" customHeight="1" thickTop="1" thickBot="1">
      <c r="A14" s="81">
        <v>13</v>
      </c>
      <c r="B14" s="74" t="s">
        <v>12</v>
      </c>
      <c r="C14" s="788"/>
      <c r="D14" s="781"/>
      <c r="E14" s="794"/>
      <c r="F14" s="781"/>
      <c r="G14" s="807"/>
      <c r="H14" s="813"/>
      <c r="I14" s="112"/>
      <c r="J14" s="814"/>
      <c r="K14" s="798"/>
      <c r="L14" s="76"/>
      <c r="M14" s="76"/>
      <c r="N14" s="75"/>
      <c r="O14" s="76"/>
      <c r="P14" s="75"/>
      <c r="Q14" s="799"/>
      <c r="R14" s="803"/>
      <c r="S14" s="785">
        <f t="shared" si="0"/>
        <v>0</v>
      </c>
    </row>
    <row r="15" spans="1:19" ht="29.1" customHeight="1" thickTop="1" thickBot="1">
      <c r="A15" s="81">
        <v>14</v>
      </c>
      <c r="B15" s="74" t="s">
        <v>0</v>
      </c>
      <c r="C15" s="788"/>
      <c r="D15" s="781"/>
      <c r="E15" s="794"/>
      <c r="F15" s="781"/>
      <c r="G15" s="807"/>
      <c r="H15" s="813"/>
      <c r="I15" s="112"/>
      <c r="J15" s="814"/>
      <c r="K15" s="798"/>
      <c r="L15" s="76"/>
      <c r="M15" s="76"/>
      <c r="N15" s="75"/>
      <c r="O15" s="76"/>
      <c r="P15" s="75"/>
      <c r="Q15" s="799"/>
      <c r="R15" s="803"/>
      <c r="S15" s="785">
        <f t="shared" si="0"/>
        <v>0</v>
      </c>
    </row>
    <row r="16" spans="1:19" ht="29.1" customHeight="1" thickTop="1" thickBot="1">
      <c r="A16" s="81">
        <v>15</v>
      </c>
      <c r="B16" s="74" t="s">
        <v>13</v>
      </c>
      <c r="C16" s="788"/>
      <c r="D16" s="781"/>
      <c r="E16" s="794"/>
      <c r="F16" s="781"/>
      <c r="G16" s="807"/>
      <c r="H16" s="813"/>
      <c r="I16" s="112"/>
      <c r="J16" s="814"/>
      <c r="K16" s="798"/>
      <c r="L16" s="76"/>
      <c r="M16" s="76"/>
      <c r="N16" s="75"/>
      <c r="O16" s="76"/>
      <c r="P16" s="75"/>
      <c r="Q16" s="799"/>
      <c r="R16" s="803"/>
      <c r="S16" s="785">
        <f t="shared" si="0"/>
        <v>0</v>
      </c>
    </row>
    <row r="17" spans="1:19" ht="29.1" customHeight="1" thickTop="1" thickBot="1">
      <c r="A17" s="81">
        <v>16</v>
      </c>
      <c r="B17" s="74" t="s">
        <v>14</v>
      </c>
      <c r="C17" s="788"/>
      <c r="D17" s="781"/>
      <c r="E17" s="794"/>
      <c r="F17" s="781"/>
      <c r="G17" s="807"/>
      <c r="H17" s="813"/>
      <c r="I17" s="112"/>
      <c r="J17" s="814"/>
      <c r="K17" s="798"/>
      <c r="L17" s="76"/>
      <c r="M17" s="76"/>
      <c r="N17" s="75"/>
      <c r="O17" s="76"/>
      <c r="P17" s="75"/>
      <c r="Q17" s="799"/>
      <c r="R17" s="803"/>
      <c r="S17" s="785">
        <f t="shared" si="0"/>
        <v>0</v>
      </c>
    </row>
    <row r="18" spans="1:19" ht="29.1" customHeight="1" thickTop="1" thickBot="1">
      <c r="A18" s="81">
        <v>17</v>
      </c>
      <c r="B18" s="74" t="s">
        <v>15</v>
      </c>
      <c r="C18" s="788"/>
      <c r="D18" s="781"/>
      <c r="E18" s="794"/>
      <c r="F18" s="781"/>
      <c r="G18" s="807"/>
      <c r="H18" s="813"/>
      <c r="I18" s="112"/>
      <c r="J18" s="814"/>
      <c r="K18" s="798"/>
      <c r="L18" s="76"/>
      <c r="M18" s="76"/>
      <c r="N18" s="75"/>
      <c r="O18" s="76"/>
      <c r="P18" s="75"/>
      <c r="Q18" s="799"/>
      <c r="R18" s="803"/>
      <c r="S18" s="785">
        <f t="shared" si="0"/>
        <v>0</v>
      </c>
    </row>
    <row r="19" spans="1:19" ht="29.1" customHeight="1" thickTop="1" thickBot="1">
      <c r="A19" s="81">
        <v>18</v>
      </c>
      <c r="B19" s="74" t="s">
        <v>16</v>
      </c>
      <c r="C19" s="788"/>
      <c r="D19" s="781"/>
      <c r="E19" s="794"/>
      <c r="F19" s="781"/>
      <c r="G19" s="807"/>
      <c r="H19" s="813"/>
      <c r="I19" s="112"/>
      <c r="J19" s="814"/>
      <c r="K19" s="798"/>
      <c r="L19" s="76"/>
      <c r="M19" s="76"/>
      <c r="N19" s="75"/>
      <c r="O19" s="76"/>
      <c r="P19" s="75"/>
      <c r="Q19" s="799"/>
      <c r="R19" s="803"/>
      <c r="S19" s="785">
        <f t="shared" si="0"/>
        <v>0</v>
      </c>
    </row>
    <row r="20" spans="1:19" ht="29.1" customHeight="1" thickTop="1" thickBot="1">
      <c r="A20" s="82">
        <v>19</v>
      </c>
      <c r="B20" s="77" t="s">
        <v>17</v>
      </c>
      <c r="C20" s="789"/>
      <c r="D20" s="782"/>
      <c r="E20" s="795"/>
      <c r="F20" s="782"/>
      <c r="G20" s="808"/>
      <c r="H20" s="815"/>
      <c r="I20" s="118"/>
      <c r="J20" s="816"/>
      <c r="K20" s="800"/>
      <c r="L20" s="79"/>
      <c r="M20" s="79"/>
      <c r="N20" s="78"/>
      <c r="O20" s="79"/>
      <c r="P20" s="78"/>
      <c r="Q20" s="801"/>
      <c r="R20" s="804"/>
      <c r="S20" s="786">
        <f t="shared" si="0"/>
        <v>0</v>
      </c>
    </row>
    <row r="21" spans="1:19" ht="18.75" thickTop="1"/>
  </sheetData>
  <sheetProtection password="CDAE" sheet="1" selectLockedCells="1"/>
  <mergeCells count="4">
    <mergeCell ref="A1:B1"/>
    <mergeCell ref="K1:L1"/>
    <mergeCell ref="N1:O1"/>
    <mergeCell ref="P1:Q1"/>
  </mergeCells>
  <phoneticPr fontId="0" type="noConversion"/>
  <pageMargins left="3.937007874015748E-2" right="3.937007874015748E-2" top="3.937007874015748E-2" bottom="3.937007874015748E-2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2"/>
  <sheetViews>
    <sheetView showGridLines="0" showRowColHeaders="0" workbookViewId="0">
      <selection activeCell="M7" sqref="M7"/>
    </sheetView>
  </sheetViews>
  <sheetFormatPr baseColWidth="10" defaultColWidth="11.5703125" defaultRowHeight="15"/>
  <cols>
    <col min="1" max="1" width="11.5703125" style="829"/>
    <col min="2" max="2" width="16" style="848" customWidth="1"/>
    <col min="3" max="3" width="14.42578125" style="778" customWidth="1"/>
    <col min="4" max="4" width="15" style="299" customWidth="1"/>
    <col min="5" max="6" width="13.140625" style="778" customWidth="1"/>
    <col min="7" max="7" width="14.85546875" style="778" customWidth="1"/>
    <col min="8" max="8" width="14.5703125" style="778" customWidth="1"/>
    <col min="9" max="9" width="14.85546875" style="778" customWidth="1"/>
    <col min="10" max="10" width="13.85546875" style="778" customWidth="1"/>
    <col min="11" max="11" width="13.5703125" style="778" customWidth="1"/>
    <col min="12" max="12" width="12.28515625" style="778" customWidth="1"/>
    <col min="13" max="13" width="12.85546875" style="778" customWidth="1"/>
    <col min="14" max="16384" width="11.5703125" style="778"/>
  </cols>
  <sheetData>
    <row r="1" spans="1:13">
      <c r="A1" s="1169" t="s">
        <v>329</v>
      </c>
      <c r="B1" s="1170"/>
      <c r="C1" s="1170"/>
      <c r="D1" s="1170"/>
      <c r="E1" s="1170"/>
      <c r="F1" s="1170"/>
      <c r="G1" s="1170"/>
      <c r="H1" s="1170"/>
      <c r="I1" s="1170"/>
      <c r="J1" s="1170"/>
      <c r="K1" s="1170"/>
      <c r="L1" s="1170"/>
    </row>
    <row r="2" spans="1:13" ht="15.75" thickBot="1">
      <c r="A2" s="820"/>
      <c r="B2" s="845"/>
      <c r="D2" s="863"/>
    </row>
    <row r="3" spans="1:13" s="776" customFormat="1" ht="27" thickTop="1" thickBot="1">
      <c r="A3" s="990" t="s">
        <v>330</v>
      </c>
      <c r="B3" s="991" t="s">
        <v>331</v>
      </c>
      <c r="C3" s="992" t="s">
        <v>332</v>
      </c>
      <c r="D3" s="993" t="s">
        <v>333</v>
      </c>
      <c r="E3" s="992" t="s">
        <v>334</v>
      </c>
      <c r="F3" s="992" t="s">
        <v>335</v>
      </c>
      <c r="G3" s="992" t="s">
        <v>336</v>
      </c>
      <c r="H3" s="992" t="s">
        <v>337</v>
      </c>
      <c r="I3" s="992" t="s">
        <v>338</v>
      </c>
      <c r="J3" s="994" t="s">
        <v>339</v>
      </c>
      <c r="K3" s="992" t="s">
        <v>340</v>
      </c>
      <c r="L3" s="995" t="s">
        <v>341</v>
      </c>
      <c r="M3" s="299"/>
    </row>
    <row r="4" spans="1:13" ht="36.75" thickTop="1">
      <c r="A4" s="978" t="s">
        <v>342</v>
      </c>
      <c r="B4" s="855" t="s">
        <v>343</v>
      </c>
      <c r="C4" s="821" t="s">
        <v>344</v>
      </c>
      <c r="D4" s="864" t="s">
        <v>345</v>
      </c>
      <c r="E4" s="893">
        <v>15.85</v>
      </c>
      <c r="F4" s="868"/>
      <c r="G4" s="868">
        <f>E4*69.33</f>
        <v>1098.8805</v>
      </c>
      <c r="H4" s="889" t="s">
        <v>346</v>
      </c>
      <c r="I4" s="874">
        <f>1.46*G4</f>
        <v>1604.36553</v>
      </c>
      <c r="J4" s="880">
        <f t="shared" ref="J4:J20" si="0">I4*12</f>
        <v>19252.38636</v>
      </c>
      <c r="K4" s="885"/>
      <c r="L4" s="953"/>
      <c r="M4" s="165"/>
    </row>
    <row r="5" spans="1:13" ht="36">
      <c r="A5" s="979"/>
      <c r="B5" s="846" t="s">
        <v>343</v>
      </c>
      <c r="C5" s="822" t="s">
        <v>344</v>
      </c>
      <c r="D5" s="865" t="s">
        <v>347</v>
      </c>
      <c r="E5" s="894">
        <v>15.85</v>
      </c>
      <c r="F5" s="869"/>
      <c r="G5" s="869">
        <f>E5*104</f>
        <v>1648.3999999999999</v>
      </c>
      <c r="H5" s="890" t="s">
        <v>348</v>
      </c>
      <c r="I5" s="875">
        <f>1.46*G5</f>
        <v>2406.6639999999998</v>
      </c>
      <c r="J5" s="881">
        <f t="shared" si="0"/>
        <v>28879.967999999997</v>
      </c>
      <c r="K5" s="886"/>
      <c r="L5" s="954"/>
      <c r="M5" s="823"/>
    </row>
    <row r="6" spans="1:13" ht="45">
      <c r="A6" s="979" t="s">
        <v>342</v>
      </c>
      <c r="B6" s="846" t="s">
        <v>343</v>
      </c>
      <c r="C6" s="822" t="s">
        <v>344</v>
      </c>
      <c r="D6" s="865" t="s">
        <v>349</v>
      </c>
      <c r="E6" s="894">
        <v>15.85</v>
      </c>
      <c r="F6" s="869"/>
      <c r="G6" s="869">
        <f>E6*122</f>
        <v>1933.7</v>
      </c>
      <c r="H6" s="890" t="s">
        <v>348</v>
      </c>
      <c r="I6" s="875">
        <f>1.46*G6</f>
        <v>2823.2019999999998</v>
      </c>
      <c r="J6" s="881">
        <f t="shared" si="0"/>
        <v>33878.423999999999</v>
      </c>
      <c r="K6" s="886"/>
      <c r="L6" s="954"/>
      <c r="M6" s="824"/>
    </row>
    <row r="7" spans="1:13" ht="36">
      <c r="A7" s="979" t="s">
        <v>342</v>
      </c>
      <c r="B7" s="846" t="s">
        <v>343</v>
      </c>
      <c r="C7" s="822" t="s">
        <v>344</v>
      </c>
      <c r="D7" s="865" t="s">
        <v>350</v>
      </c>
      <c r="E7" s="894">
        <v>15.85</v>
      </c>
      <c r="F7" s="869"/>
      <c r="G7" s="869">
        <f>E7*129</f>
        <v>2044.6499999999999</v>
      </c>
      <c r="H7" s="899">
        <v>46</v>
      </c>
      <c r="I7" s="875">
        <f>G7*1.46</f>
        <v>2985.1889999999999</v>
      </c>
      <c r="J7" s="881">
        <f t="shared" si="0"/>
        <v>35822.267999999996</v>
      </c>
      <c r="K7" s="886"/>
      <c r="L7" s="954"/>
      <c r="M7" s="824"/>
    </row>
    <row r="8" spans="1:13" ht="45">
      <c r="A8" s="979" t="s">
        <v>342</v>
      </c>
      <c r="B8" s="846" t="s">
        <v>343</v>
      </c>
      <c r="C8" s="822" t="s">
        <v>344</v>
      </c>
      <c r="D8" s="865" t="s">
        <v>351</v>
      </c>
      <c r="E8" s="894">
        <v>15.85</v>
      </c>
      <c r="F8" s="869">
        <f>G8*0.77</f>
        <v>1691.0555199999999</v>
      </c>
      <c r="G8" s="869">
        <f>E8*138.56</f>
        <v>2196.1759999999999</v>
      </c>
      <c r="H8" s="899">
        <v>46</v>
      </c>
      <c r="I8" s="875">
        <f>G8*1.46</f>
        <v>3206.41696</v>
      </c>
      <c r="J8" s="881">
        <f t="shared" si="0"/>
        <v>38477.003519999998</v>
      </c>
      <c r="K8" s="886"/>
      <c r="L8" s="954"/>
      <c r="M8" s="824"/>
    </row>
    <row r="9" spans="1:13" ht="38.25">
      <c r="A9" s="980" t="s">
        <v>352</v>
      </c>
      <c r="B9" s="847" t="s">
        <v>343</v>
      </c>
      <c r="C9" s="825" t="s">
        <v>344</v>
      </c>
      <c r="D9" s="866" t="s">
        <v>353</v>
      </c>
      <c r="E9" s="894">
        <v>15.85</v>
      </c>
      <c r="F9" s="870">
        <v>1910.61</v>
      </c>
      <c r="G9" s="870">
        <v>2444.4</v>
      </c>
      <c r="H9" s="899">
        <v>46</v>
      </c>
      <c r="I9" s="876">
        <f>G9*1.46</f>
        <v>3568.8240000000001</v>
      </c>
      <c r="J9" s="882">
        <f>I9*12</f>
        <v>42825.887999999999</v>
      </c>
      <c r="K9" s="887"/>
      <c r="L9" s="955"/>
      <c r="M9" s="824"/>
    </row>
    <row r="10" spans="1:13" ht="25.5">
      <c r="A10" s="981" t="s">
        <v>216</v>
      </c>
      <c r="B10" s="856" t="s">
        <v>102</v>
      </c>
      <c r="C10" s="826"/>
      <c r="D10" s="867" t="s">
        <v>354</v>
      </c>
      <c r="E10" s="895">
        <v>13</v>
      </c>
      <c r="F10" s="871"/>
      <c r="G10" s="871">
        <f>E10*52</f>
        <v>676</v>
      </c>
      <c r="H10" s="900">
        <v>35</v>
      </c>
      <c r="I10" s="877">
        <f>G10*1.35</f>
        <v>912.6</v>
      </c>
      <c r="J10" s="883">
        <f t="shared" si="0"/>
        <v>10951.2</v>
      </c>
      <c r="K10" s="888"/>
      <c r="L10" s="956"/>
      <c r="M10" s="903" t="s">
        <v>355</v>
      </c>
    </row>
    <row r="11" spans="1:13" ht="30">
      <c r="A11" s="979"/>
      <c r="B11" s="846" t="s">
        <v>102</v>
      </c>
      <c r="C11" s="822"/>
      <c r="D11" s="865" t="s">
        <v>356</v>
      </c>
      <c r="E11" s="894">
        <v>13</v>
      </c>
      <c r="F11" s="869"/>
      <c r="G11" s="869">
        <f>E11*69.33</f>
        <v>901.29</v>
      </c>
      <c r="H11" s="899">
        <v>35</v>
      </c>
      <c r="I11" s="875">
        <f>G11*1.35</f>
        <v>1216.7415000000001</v>
      </c>
      <c r="J11" s="881">
        <f t="shared" si="0"/>
        <v>14600.898000000001</v>
      </c>
      <c r="K11" s="886"/>
      <c r="L11" s="954"/>
      <c r="M11" s="903" t="s">
        <v>357</v>
      </c>
    </row>
    <row r="12" spans="1:13" ht="25.5">
      <c r="A12" s="980"/>
      <c r="B12" s="847" t="s">
        <v>102</v>
      </c>
      <c r="C12" s="825"/>
      <c r="D12" s="866" t="s">
        <v>345</v>
      </c>
      <c r="E12" s="896">
        <v>13</v>
      </c>
      <c r="F12" s="870">
        <f>G12*0.78</f>
        <v>703.00620000000004</v>
      </c>
      <c r="G12" s="870">
        <f>E12*69.33</f>
        <v>901.29</v>
      </c>
      <c r="H12" s="901">
        <v>35</v>
      </c>
      <c r="I12" s="876">
        <f>G12*1.35</f>
        <v>1216.7415000000001</v>
      </c>
      <c r="J12" s="882">
        <f t="shared" si="0"/>
        <v>14600.898000000001</v>
      </c>
      <c r="K12" s="886"/>
      <c r="L12" s="954"/>
      <c r="M12" s="824"/>
    </row>
    <row r="13" spans="1:13" ht="30">
      <c r="A13" s="979"/>
      <c r="B13" s="846" t="s">
        <v>102</v>
      </c>
      <c r="C13" s="822"/>
      <c r="D13" s="865" t="s">
        <v>358</v>
      </c>
      <c r="E13" s="894">
        <v>13</v>
      </c>
      <c r="F13" s="869">
        <f>G13*0.78</f>
        <v>770.64</v>
      </c>
      <c r="G13" s="869">
        <f>E13*76</f>
        <v>988</v>
      </c>
      <c r="H13" s="899">
        <v>35</v>
      </c>
      <c r="I13" s="875">
        <f>G13*1.35</f>
        <v>1333.8000000000002</v>
      </c>
      <c r="J13" s="881">
        <f t="shared" si="0"/>
        <v>16005.600000000002</v>
      </c>
      <c r="K13" s="886"/>
      <c r="L13" s="954"/>
      <c r="M13" s="823"/>
    </row>
    <row r="14" spans="1:13" ht="30">
      <c r="A14" s="979"/>
      <c r="B14" s="846" t="s">
        <v>102</v>
      </c>
      <c r="C14" s="822"/>
      <c r="D14" s="865" t="s">
        <v>347</v>
      </c>
      <c r="E14" s="894">
        <v>13</v>
      </c>
      <c r="F14" s="869">
        <f>G14*0.78</f>
        <v>1054.56</v>
      </c>
      <c r="G14" s="869">
        <f>E14*104</f>
        <v>1352</v>
      </c>
      <c r="H14" s="899">
        <v>35</v>
      </c>
      <c r="I14" s="875">
        <f>G14*1.35</f>
        <v>1825.2</v>
      </c>
      <c r="J14" s="881">
        <f t="shared" si="0"/>
        <v>21902.400000000001</v>
      </c>
      <c r="K14" s="886"/>
      <c r="L14" s="954"/>
      <c r="M14" s="902">
        <f>I14*12</f>
        <v>21902.400000000001</v>
      </c>
    </row>
    <row r="15" spans="1:13" ht="36">
      <c r="A15" s="980" t="s">
        <v>359</v>
      </c>
      <c r="B15" s="847" t="s">
        <v>360</v>
      </c>
      <c r="C15" s="827" t="s">
        <v>344</v>
      </c>
      <c r="D15" s="866" t="s">
        <v>361</v>
      </c>
      <c r="E15" s="897">
        <v>11.97</v>
      </c>
      <c r="F15" s="872">
        <f>G15*0.782</f>
        <v>1485.8</v>
      </c>
      <c r="G15" s="872">
        <v>1900</v>
      </c>
      <c r="H15" s="892" t="s">
        <v>362</v>
      </c>
      <c r="I15" s="878">
        <f>1.43*G15</f>
        <v>2717</v>
      </c>
      <c r="J15" s="884">
        <f t="shared" si="0"/>
        <v>32604</v>
      </c>
      <c r="K15" s="888"/>
      <c r="L15" s="956"/>
      <c r="M15" s="165"/>
    </row>
    <row r="16" spans="1:13" ht="30">
      <c r="A16" s="979"/>
      <c r="B16" s="846"/>
      <c r="C16" s="822"/>
      <c r="D16" s="865" t="s">
        <v>361</v>
      </c>
      <c r="E16" s="894"/>
      <c r="F16" s="869">
        <f>G16*0.782</f>
        <v>1564</v>
      </c>
      <c r="G16" s="869">
        <v>2000</v>
      </c>
      <c r="H16" s="899">
        <v>0.45</v>
      </c>
      <c r="I16" s="875">
        <f>G16*1.45</f>
        <v>2900</v>
      </c>
      <c r="J16" s="881">
        <f t="shared" si="0"/>
        <v>34800</v>
      </c>
      <c r="K16" s="886"/>
      <c r="L16" s="954"/>
      <c r="M16" s="165"/>
    </row>
    <row r="17" spans="1:13" ht="30">
      <c r="A17" s="979"/>
      <c r="B17" s="846"/>
      <c r="C17" s="822"/>
      <c r="D17" s="865" t="s">
        <v>361</v>
      </c>
      <c r="E17" s="894"/>
      <c r="F17" s="869">
        <f>G17*0.782</f>
        <v>1642.2</v>
      </c>
      <c r="G17" s="869">
        <v>2100</v>
      </c>
      <c r="H17" s="899">
        <v>0.45</v>
      </c>
      <c r="I17" s="875">
        <f>G17*1.45</f>
        <v>3045</v>
      </c>
      <c r="J17" s="881">
        <f>I17*12</f>
        <v>36540</v>
      </c>
      <c r="K17" s="886"/>
      <c r="L17" s="954"/>
      <c r="M17" s="165"/>
    </row>
    <row r="18" spans="1:13" ht="36">
      <c r="A18" s="981" t="s">
        <v>363</v>
      </c>
      <c r="B18" s="856" t="s">
        <v>364</v>
      </c>
      <c r="C18" s="826" t="s">
        <v>365</v>
      </c>
      <c r="D18" s="867" t="s">
        <v>366</v>
      </c>
      <c r="E18" s="895">
        <v>10.25</v>
      </c>
      <c r="F18" s="871"/>
      <c r="G18" s="871">
        <v>1555.2</v>
      </c>
      <c r="H18" s="891" t="s">
        <v>367</v>
      </c>
      <c r="I18" s="877">
        <f>1.35*G18</f>
        <v>2099.52</v>
      </c>
      <c r="J18" s="883">
        <f t="shared" si="0"/>
        <v>25194.239999999998</v>
      </c>
      <c r="K18" s="888"/>
      <c r="L18" s="956"/>
      <c r="M18" s="165"/>
    </row>
    <row r="19" spans="1:13" ht="30">
      <c r="A19" s="979"/>
      <c r="B19" s="846" t="s">
        <v>368</v>
      </c>
      <c r="C19" s="822"/>
      <c r="D19" s="865" t="s">
        <v>369</v>
      </c>
      <c r="E19" s="894">
        <v>9.5</v>
      </c>
      <c r="F19" s="869"/>
      <c r="G19" s="869">
        <f>9.5*39</f>
        <v>370.5</v>
      </c>
      <c r="H19" s="899">
        <v>0.35</v>
      </c>
      <c r="I19" s="875">
        <f>G19*1.35</f>
        <v>500.17500000000001</v>
      </c>
      <c r="J19" s="881">
        <f t="shared" si="0"/>
        <v>6002.1</v>
      </c>
      <c r="K19" s="886"/>
      <c r="L19" s="954"/>
      <c r="M19" s="165"/>
    </row>
    <row r="20" spans="1:13" ht="30">
      <c r="A20" s="979"/>
      <c r="B20" s="846"/>
      <c r="C20" s="822"/>
      <c r="D20" s="865" t="s">
        <v>370</v>
      </c>
      <c r="E20" s="894">
        <v>9.5</v>
      </c>
      <c r="F20" s="869"/>
      <c r="G20" s="869">
        <f>E20*112.7</f>
        <v>1070.6500000000001</v>
      </c>
      <c r="H20" s="899">
        <v>0.35</v>
      </c>
      <c r="I20" s="875">
        <f>G20*1.35</f>
        <v>1445.3775000000003</v>
      </c>
      <c r="J20" s="881">
        <f t="shared" si="0"/>
        <v>17344.530000000002</v>
      </c>
      <c r="K20" s="886"/>
      <c r="L20" s="954"/>
      <c r="M20" s="165"/>
    </row>
    <row r="21" spans="1:13">
      <c r="A21" s="979"/>
      <c r="B21" s="846"/>
      <c r="C21" s="822"/>
      <c r="D21" s="865"/>
      <c r="E21" s="894"/>
      <c r="F21" s="869"/>
      <c r="G21" s="869"/>
      <c r="H21" s="890"/>
      <c r="I21" s="875">
        <f>I20+I19</f>
        <v>1945.5525000000002</v>
      </c>
      <c r="J21" s="881">
        <f>J20+J19</f>
        <v>23346.630000000005</v>
      </c>
      <c r="K21" s="886"/>
      <c r="L21" s="954"/>
      <c r="M21" s="165"/>
    </row>
    <row r="22" spans="1:13" ht="25.5">
      <c r="A22" s="981" t="s">
        <v>371</v>
      </c>
      <c r="B22" s="856" t="s">
        <v>372</v>
      </c>
      <c r="C22" s="826" t="s">
        <v>373</v>
      </c>
      <c r="D22" s="867" t="s">
        <v>370</v>
      </c>
      <c r="E22" s="895">
        <v>9</v>
      </c>
      <c r="F22" s="871">
        <f t="shared" ref="F22:F27" si="1">G22*0.781</f>
        <v>792.16830000000004</v>
      </c>
      <c r="G22" s="871">
        <f t="shared" ref="G22:G27" si="2">112.7*E22</f>
        <v>1014.3000000000001</v>
      </c>
      <c r="H22" s="891" t="s">
        <v>374</v>
      </c>
      <c r="I22" s="877">
        <f t="shared" ref="I22:I27" si="3">1.15*G22</f>
        <v>1166.4449999999999</v>
      </c>
      <c r="J22" s="883">
        <f t="shared" ref="J22:J27" si="4">I22*12</f>
        <v>13997.34</v>
      </c>
      <c r="K22" s="888">
        <f t="shared" ref="K22:K27" si="5">1.05*G22</f>
        <v>1065.0150000000001</v>
      </c>
      <c r="L22" s="956">
        <f t="shared" ref="L22:L27" si="6">K22*12</f>
        <v>12780.18</v>
      </c>
      <c r="M22" s="902">
        <f>I22*6</f>
        <v>6998.67</v>
      </c>
    </row>
    <row r="23" spans="1:13" ht="30">
      <c r="A23" s="979" t="s">
        <v>375</v>
      </c>
      <c r="B23" s="846" t="s">
        <v>372</v>
      </c>
      <c r="C23" s="822" t="s">
        <v>373</v>
      </c>
      <c r="D23" s="865" t="s">
        <v>370</v>
      </c>
      <c r="E23" s="894">
        <v>9</v>
      </c>
      <c r="F23" s="869">
        <f t="shared" si="1"/>
        <v>792.16830000000004</v>
      </c>
      <c r="G23" s="869">
        <f t="shared" si="2"/>
        <v>1014.3000000000001</v>
      </c>
      <c r="H23" s="899">
        <v>150</v>
      </c>
      <c r="I23" s="875">
        <f t="shared" si="3"/>
        <v>1166.4449999999999</v>
      </c>
      <c r="J23" s="881">
        <f t="shared" si="4"/>
        <v>13997.34</v>
      </c>
      <c r="K23" s="886">
        <f t="shared" si="5"/>
        <v>1065.0150000000001</v>
      </c>
      <c r="L23" s="954">
        <f t="shared" si="6"/>
        <v>12780.18</v>
      </c>
      <c r="M23" s="902">
        <f>I23*5</f>
        <v>5832.2249999999995</v>
      </c>
    </row>
    <row r="24" spans="1:13" ht="30">
      <c r="A24" s="979" t="s">
        <v>376</v>
      </c>
      <c r="B24" s="846" t="s">
        <v>372</v>
      </c>
      <c r="C24" s="822" t="s">
        <v>373</v>
      </c>
      <c r="D24" s="865" t="s">
        <v>370</v>
      </c>
      <c r="E24" s="894">
        <v>9</v>
      </c>
      <c r="F24" s="869">
        <f t="shared" si="1"/>
        <v>792.16830000000004</v>
      </c>
      <c r="G24" s="869">
        <f t="shared" si="2"/>
        <v>1014.3000000000001</v>
      </c>
      <c r="H24" s="899">
        <v>150</v>
      </c>
      <c r="I24" s="875">
        <f t="shared" si="3"/>
        <v>1166.4449999999999</v>
      </c>
      <c r="J24" s="881">
        <f t="shared" si="4"/>
        <v>13997.34</v>
      </c>
      <c r="K24" s="886">
        <f t="shared" si="5"/>
        <v>1065.0150000000001</v>
      </c>
      <c r="L24" s="954">
        <f t="shared" si="6"/>
        <v>12780.18</v>
      </c>
      <c r="M24" s="165"/>
    </row>
    <row r="25" spans="1:13" ht="30">
      <c r="A25" s="979" t="s">
        <v>377</v>
      </c>
      <c r="B25" s="846" t="s">
        <v>372</v>
      </c>
      <c r="C25" s="822" t="s">
        <v>373</v>
      </c>
      <c r="D25" s="865" t="s">
        <v>370</v>
      </c>
      <c r="E25" s="894">
        <v>9</v>
      </c>
      <c r="F25" s="869">
        <f t="shared" si="1"/>
        <v>792.16830000000004</v>
      </c>
      <c r="G25" s="869">
        <f t="shared" si="2"/>
        <v>1014.3000000000001</v>
      </c>
      <c r="H25" s="899">
        <v>150</v>
      </c>
      <c r="I25" s="875">
        <f t="shared" si="3"/>
        <v>1166.4449999999999</v>
      </c>
      <c r="J25" s="881">
        <f t="shared" si="4"/>
        <v>13997.34</v>
      </c>
      <c r="K25" s="886">
        <f t="shared" si="5"/>
        <v>1065.0150000000001</v>
      </c>
      <c r="L25" s="954">
        <f t="shared" si="6"/>
        <v>12780.18</v>
      </c>
      <c r="M25" s="828" t="s">
        <v>378</v>
      </c>
    </row>
    <row r="26" spans="1:13" ht="30">
      <c r="A26" s="979" t="s">
        <v>379</v>
      </c>
      <c r="B26" s="846" t="s">
        <v>372</v>
      </c>
      <c r="C26" s="822" t="s">
        <v>373</v>
      </c>
      <c r="D26" s="865" t="s">
        <v>370</v>
      </c>
      <c r="E26" s="894">
        <v>9</v>
      </c>
      <c r="F26" s="869">
        <f t="shared" si="1"/>
        <v>792.16830000000004</v>
      </c>
      <c r="G26" s="869">
        <f t="shared" si="2"/>
        <v>1014.3000000000001</v>
      </c>
      <c r="H26" s="899">
        <v>150</v>
      </c>
      <c r="I26" s="875">
        <f t="shared" si="3"/>
        <v>1166.4449999999999</v>
      </c>
      <c r="J26" s="881">
        <f t="shared" si="4"/>
        <v>13997.34</v>
      </c>
      <c r="K26" s="886">
        <f t="shared" si="5"/>
        <v>1065.0150000000001</v>
      </c>
      <c r="L26" s="954">
        <f t="shared" si="6"/>
        <v>12780.18</v>
      </c>
      <c r="M26" s="165"/>
    </row>
    <row r="27" spans="1:13" ht="30.75" thickBot="1">
      <c r="A27" s="982" t="s">
        <v>380</v>
      </c>
      <c r="B27" s="957" t="s">
        <v>372</v>
      </c>
      <c r="C27" s="977" t="s">
        <v>373</v>
      </c>
      <c r="D27" s="958" t="s">
        <v>370</v>
      </c>
      <c r="E27" s="959">
        <v>9</v>
      </c>
      <c r="F27" s="960">
        <f t="shared" si="1"/>
        <v>792.16830000000004</v>
      </c>
      <c r="G27" s="960">
        <f t="shared" si="2"/>
        <v>1014.3000000000001</v>
      </c>
      <c r="H27" s="961">
        <v>150</v>
      </c>
      <c r="I27" s="962">
        <f t="shared" si="3"/>
        <v>1166.4449999999999</v>
      </c>
      <c r="J27" s="963">
        <f t="shared" si="4"/>
        <v>13997.34</v>
      </c>
      <c r="K27" s="964">
        <f t="shared" si="5"/>
        <v>1065.0150000000001</v>
      </c>
      <c r="L27" s="965">
        <f t="shared" si="6"/>
        <v>12780.18</v>
      </c>
      <c r="M27" s="165"/>
    </row>
    <row r="28" spans="1:13" ht="16.5" thickTop="1" thickBot="1">
      <c r="C28" s="165"/>
      <c r="E28" s="898"/>
      <c r="F28" s="873"/>
      <c r="G28" s="873"/>
      <c r="H28" s="165"/>
      <c r="I28" s="879"/>
      <c r="J28" s="165"/>
      <c r="K28" s="165"/>
      <c r="L28" s="165"/>
      <c r="M28" s="165"/>
    </row>
    <row r="29" spans="1:13" ht="27" thickTop="1" thickBot="1">
      <c r="A29" s="966" t="s">
        <v>371</v>
      </c>
      <c r="B29" s="967" t="s">
        <v>372</v>
      </c>
      <c r="C29" s="968" t="s">
        <v>381</v>
      </c>
      <c r="D29" s="969" t="s">
        <v>370</v>
      </c>
      <c r="E29" s="970">
        <v>9</v>
      </c>
      <c r="F29" s="971">
        <f>G29*0.782</f>
        <v>793.18260000000009</v>
      </c>
      <c r="G29" s="971">
        <f>112.7*E29</f>
        <v>1014.3000000000001</v>
      </c>
      <c r="H29" s="972" t="s">
        <v>382</v>
      </c>
      <c r="I29" s="973">
        <f>1.15*G29</f>
        <v>1166.4449999999999</v>
      </c>
      <c r="J29" s="974">
        <f>I29*12</f>
        <v>13997.34</v>
      </c>
      <c r="K29" s="975">
        <f>0.75*G29</f>
        <v>760.72500000000002</v>
      </c>
      <c r="L29" s="976">
        <f>K29*12</f>
        <v>9128.7000000000007</v>
      </c>
      <c r="M29" s="902">
        <f>I29*4</f>
        <v>4665.78</v>
      </c>
    </row>
    <row r="30" spans="1:13" ht="15.75" thickTop="1">
      <c r="C30" s="165"/>
      <c r="E30" s="165"/>
      <c r="F30" s="165"/>
      <c r="G30" s="165" t="s">
        <v>216</v>
      </c>
      <c r="H30" s="165" t="s">
        <v>216</v>
      </c>
      <c r="I30" s="165"/>
      <c r="J30" s="165"/>
      <c r="K30" s="165"/>
      <c r="L30" s="165"/>
      <c r="M30" s="902">
        <f>K29*4</f>
        <v>3042.9</v>
      </c>
    </row>
    <row r="31" spans="1:13">
      <c r="G31" s="830"/>
    </row>
    <row r="32" spans="1:13">
      <c r="F32" s="831">
        <f>F29*4</f>
        <v>3172.7304000000004</v>
      </c>
      <c r="I32" s="831">
        <f>I29*4</f>
        <v>4665.78</v>
      </c>
    </row>
    <row r="33" spans="1:13">
      <c r="H33" s="830"/>
      <c r="K33" s="778">
        <f>K27*12*6+3042</f>
        <v>79723.08</v>
      </c>
    </row>
    <row r="34" spans="1:13">
      <c r="E34" s="778">
        <f>75818/1.15</f>
        <v>65928.695652173919</v>
      </c>
      <c r="F34" s="778" t="s">
        <v>383</v>
      </c>
      <c r="G34" s="778">
        <f>2717/151.67</f>
        <v>17.913892002373576</v>
      </c>
    </row>
    <row r="35" spans="1:13">
      <c r="E35" s="778">
        <f>E34/1.221</f>
        <v>53995.655734786174</v>
      </c>
      <c r="G35" s="778">
        <f>(I27-K27)/112.67</f>
        <v>0.90023963788053463</v>
      </c>
      <c r="H35" s="830"/>
    </row>
    <row r="37" spans="1:13">
      <c r="F37" s="832">
        <f>I14*12</f>
        <v>21902.400000000001</v>
      </c>
    </row>
    <row r="38" spans="1:13">
      <c r="K38" s="386" t="s">
        <v>384</v>
      </c>
    </row>
    <row r="39" spans="1:13" ht="15.75" thickBot="1">
      <c r="K39" s="833">
        <f>H48-G50+I48</f>
        <v>0</v>
      </c>
    </row>
    <row r="40" spans="1:13" s="165" customFormat="1" ht="16.5" thickTop="1" thickBot="1">
      <c r="A40" s="996" t="s">
        <v>385</v>
      </c>
      <c r="B40" s="1001" t="s">
        <v>386</v>
      </c>
      <c r="C40" s="983" t="s">
        <v>387</v>
      </c>
      <c r="D40" s="983" t="s">
        <v>388</v>
      </c>
      <c r="E40" s="983" t="s">
        <v>389</v>
      </c>
      <c r="F40" s="1001" t="s">
        <v>390</v>
      </c>
      <c r="G40" s="984" t="s">
        <v>391</v>
      </c>
      <c r="K40" s="861"/>
    </row>
    <row r="41" spans="1:13" ht="15.75" thickTop="1">
      <c r="A41" s="997" t="s">
        <v>392</v>
      </c>
      <c r="B41" s="1002">
        <f>I27*4*2</f>
        <v>9331.56</v>
      </c>
      <c r="C41" s="985">
        <f>F27*4*2</f>
        <v>6337.3464000000004</v>
      </c>
      <c r="D41" s="986">
        <f>C41*0.4724</f>
        <v>2993.7624393599999</v>
      </c>
      <c r="E41" s="1003">
        <f>D41+C41</f>
        <v>9331.1088393600003</v>
      </c>
      <c r="F41" s="985">
        <f>K27*4</f>
        <v>4260.0600000000004</v>
      </c>
      <c r="G41" s="918">
        <f>K27*4*2</f>
        <v>8520.1200000000008</v>
      </c>
      <c r="I41" s="778">
        <f>K27*6*12</f>
        <v>76681.08</v>
      </c>
    </row>
    <row r="42" spans="1:13">
      <c r="A42" s="988" t="s">
        <v>513</v>
      </c>
      <c r="B42" s="1004">
        <f>I26*5*3</f>
        <v>17496.674999999999</v>
      </c>
      <c r="C42" s="904">
        <f>F26*5*3</f>
        <v>11882.524500000001</v>
      </c>
      <c r="D42" s="905">
        <f>C42*0.4724</f>
        <v>5613.3045738000001</v>
      </c>
      <c r="E42" s="1005">
        <f>D42+C42</f>
        <v>17495.8290738</v>
      </c>
      <c r="F42" s="904">
        <f>K27*5</f>
        <v>5325.0750000000007</v>
      </c>
      <c r="G42" s="987">
        <f>K27*5*3</f>
        <v>15975.225000000002</v>
      </c>
    </row>
    <row r="43" spans="1:13">
      <c r="A43" s="998" t="s">
        <v>393</v>
      </c>
      <c r="B43" s="1004">
        <f>I27*6*7</f>
        <v>48990.69</v>
      </c>
      <c r="C43" s="904">
        <f>F27*6*7</f>
        <v>33271.068599999999</v>
      </c>
      <c r="D43" s="905">
        <f>C43*0.4724</f>
        <v>15717.252806639999</v>
      </c>
      <c r="E43" s="1005">
        <f>D43+C43</f>
        <v>48988.321406639996</v>
      </c>
      <c r="F43" s="904">
        <f>K27*6</f>
        <v>6390.09</v>
      </c>
      <c r="G43" s="987">
        <f>K27*6*7</f>
        <v>44730.630000000005</v>
      </c>
      <c r="I43" s="831">
        <f>I27*12*6</f>
        <v>83984.040000000008</v>
      </c>
    </row>
    <row r="44" spans="1:13">
      <c r="A44" s="988"/>
      <c r="B44" s="1006">
        <f>SUM(B41:B43)</f>
        <v>75818.925000000003</v>
      </c>
      <c r="C44" s="906">
        <f>SUM(C41:C43)</f>
        <v>51490.9395</v>
      </c>
      <c r="D44" s="907">
        <f>SUM(D41:D43)</f>
        <v>24324.319819799999</v>
      </c>
      <c r="E44" s="1005">
        <f>SUM(E41:E43)</f>
        <v>75815.259319799996</v>
      </c>
      <c r="F44" s="904"/>
      <c r="G44" s="987">
        <f>SUM(G41:G43)</f>
        <v>69225.975000000006</v>
      </c>
    </row>
    <row r="45" spans="1:13">
      <c r="A45" s="988"/>
      <c r="B45" s="1004"/>
      <c r="C45" s="904"/>
      <c r="D45" s="907">
        <f>D44+C44</f>
        <v>75815.259319799996</v>
      </c>
      <c r="E45" s="904"/>
      <c r="F45" s="904"/>
      <c r="G45" s="987"/>
    </row>
    <row r="46" spans="1:13">
      <c r="A46" s="998" t="s">
        <v>394</v>
      </c>
      <c r="B46" s="1004">
        <f>I29*4</f>
        <v>4665.78</v>
      </c>
      <c r="C46" s="886">
        <f>F29*4</f>
        <v>3172.7304000000004</v>
      </c>
      <c r="D46" s="905">
        <f>C46*0.47247</f>
        <v>1499.0199320880001</v>
      </c>
      <c r="E46" s="886">
        <f>D46+C46</f>
        <v>4671.7503320880005</v>
      </c>
      <c r="F46" s="886">
        <f>K29</f>
        <v>760.72500000000002</v>
      </c>
      <c r="G46" s="999">
        <f>F46*4</f>
        <v>3042.9</v>
      </c>
    </row>
    <row r="47" spans="1:13">
      <c r="A47" s="998" t="s">
        <v>395</v>
      </c>
      <c r="B47" s="1004">
        <f>I29*12</f>
        <v>13997.34</v>
      </c>
      <c r="C47" s="886">
        <f>F27*12</f>
        <v>9506.0195999999996</v>
      </c>
      <c r="D47" s="905">
        <f>C47*0.4724</f>
        <v>4490.6436590399999</v>
      </c>
      <c r="E47" s="905">
        <f>D47+C47</f>
        <v>13996.66325904</v>
      </c>
      <c r="F47" s="886">
        <f>K29</f>
        <v>760.72500000000002</v>
      </c>
      <c r="G47" s="999">
        <f>F47*12</f>
        <v>9128.7000000000007</v>
      </c>
      <c r="H47" s="840"/>
      <c r="I47" s="841"/>
      <c r="J47" s="841"/>
      <c r="K47" s="829"/>
      <c r="L47" s="829"/>
      <c r="M47" s="829"/>
    </row>
    <row r="48" spans="1:13" ht="15.75" thickBot="1">
      <c r="A48" s="997"/>
      <c r="B48" s="1007"/>
      <c r="C48" s="1008"/>
      <c r="D48" s="1009"/>
      <c r="E48" s="1008"/>
      <c r="F48" s="1008"/>
      <c r="G48" s="1000"/>
      <c r="H48" s="842"/>
      <c r="I48" s="842"/>
      <c r="J48" s="412"/>
    </row>
    <row r="49" spans="1:12" ht="16.5" thickTop="1" thickBot="1">
      <c r="A49" s="912" t="s">
        <v>396</v>
      </c>
      <c r="B49" s="913"/>
      <c r="C49" s="914"/>
      <c r="D49" s="989">
        <f>D46+C46</f>
        <v>4671.7503320880005</v>
      </c>
      <c r="E49" s="914"/>
      <c r="F49" s="915"/>
      <c r="G49" s="916">
        <f>G44+F46</f>
        <v>69986.700000000012</v>
      </c>
      <c r="H49" s="842"/>
      <c r="I49" s="842"/>
      <c r="J49" s="412"/>
    </row>
    <row r="50" spans="1:12" ht="15.75" thickTop="1">
      <c r="B50" s="908"/>
      <c r="C50" s="909"/>
      <c r="D50" s="910">
        <f>D45+D49</f>
        <v>80487.009651888002</v>
      </c>
      <c r="E50" s="909"/>
      <c r="F50" s="909"/>
      <c r="G50" s="911"/>
    </row>
    <row r="51" spans="1:12">
      <c r="A51" s="829">
        <f>6*12*I27</f>
        <v>83984.04</v>
      </c>
      <c r="B51" s="908"/>
      <c r="C51" s="909"/>
      <c r="D51" s="910"/>
      <c r="E51" s="909"/>
      <c r="F51" s="909"/>
      <c r="G51" s="911"/>
    </row>
    <row r="53" spans="1:12">
      <c r="A53" s="1168" t="s">
        <v>373</v>
      </c>
      <c r="B53" s="1168"/>
      <c r="D53" s="1168" t="s">
        <v>288</v>
      </c>
      <c r="E53" s="1168"/>
    </row>
    <row r="54" spans="1:12">
      <c r="A54" s="382" t="s">
        <v>397</v>
      </c>
      <c r="B54" s="857" t="s">
        <v>398</v>
      </c>
      <c r="D54" s="860" t="s">
        <v>397</v>
      </c>
      <c r="E54" s="382" t="s">
        <v>398</v>
      </c>
    </row>
    <row r="55" spans="1:12">
      <c r="A55" s="833">
        <f>F27</f>
        <v>792.16830000000004</v>
      </c>
      <c r="B55" s="852">
        <f>I27</f>
        <v>1166.4449999999999</v>
      </c>
      <c r="D55" s="858">
        <f>F29</f>
        <v>793.18260000000009</v>
      </c>
      <c r="E55" s="833">
        <f>I29</f>
        <v>1166.4449999999999</v>
      </c>
      <c r="H55" s="778" t="s">
        <v>399</v>
      </c>
      <c r="J55" s="778">
        <f>5*I17</f>
        <v>15225</v>
      </c>
    </row>
    <row r="56" spans="1:12">
      <c r="A56" s="835" t="s">
        <v>400</v>
      </c>
      <c r="B56" s="849">
        <f>B55*100/A55</f>
        <v>147.24711907810499</v>
      </c>
      <c r="D56" s="475" t="s">
        <v>400</v>
      </c>
      <c r="E56" s="834">
        <f>E55*100/D55</f>
        <v>147.05882352941174</v>
      </c>
      <c r="H56" s="778" t="s">
        <v>401</v>
      </c>
      <c r="J56" s="832">
        <f>I27*4*4</f>
        <v>18663.12</v>
      </c>
    </row>
    <row r="57" spans="1:12">
      <c r="A57" s="839"/>
      <c r="B57" s="853">
        <v>0.47</v>
      </c>
      <c r="D57" s="479"/>
      <c r="E57" s="843">
        <v>0.47</v>
      </c>
    </row>
    <row r="58" spans="1:12">
      <c r="H58" s="778" t="s">
        <v>402</v>
      </c>
      <c r="J58" s="778">
        <f>K27*4*4</f>
        <v>17040.240000000002</v>
      </c>
      <c r="L58" s="767"/>
    </row>
    <row r="59" spans="1:12">
      <c r="H59" s="778" t="s">
        <v>403</v>
      </c>
      <c r="J59" s="832">
        <f>E14*16*4</f>
        <v>832</v>
      </c>
    </row>
    <row r="60" spans="1:12" ht="15.75" thickBot="1">
      <c r="J60" s="832"/>
    </row>
    <row r="61" spans="1:12" ht="15.75" thickTop="1">
      <c r="A61" s="920" t="s">
        <v>404</v>
      </c>
      <c r="B61" s="921" t="s">
        <v>386</v>
      </c>
      <c r="C61" s="922" t="s">
        <v>387</v>
      </c>
      <c r="D61" s="923" t="s">
        <v>388</v>
      </c>
      <c r="E61" s="924" t="s">
        <v>389</v>
      </c>
      <c r="F61" s="925" t="s">
        <v>390</v>
      </c>
      <c r="G61" s="926" t="s">
        <v>391</v>
      </c>
    </row>
    <row r="62" spans="1:12">
      <c r="A62" s="927" t="s">
        <v>405</v>
      </c>
      <c r="B62" s="850">
        <f>I27*12*6</f>
        <v>83984.040000000008</v>
      </c>
      <c r="C62" s="833">
        <f>F27*12*6</f>
        <v>57036.117599999998</v>
      </c>
      <c r="D62" s="858">
        <f>C62*0.4724</f>
        <v>26943.861954239997</v>
      </c>
      <c r="E62" s="836">
        <f>D62+C62</f>
        <v>83979.979554239995</v>
      </c>
      <c r="F62" s="837">
        <f>K27*6</f>
        <v>6390.09</v>
      </c>
      <c r="G62" s="928">
        <f>K27*12*6</f>
        <v>76681.08</v>
      </c>
    </row>
    <row r="63" spans="1:12">
      <c r="A63" s="917"/>
      <c r="B63" s="850">
        <f>I51*5*3</f>
        <v>0</v>
      </c>
      <c r="C63" s="833" t="e">
        <f>#REF!*5*3</f>
        <v>#REF!</v>
      </c>
      <c r="D63" s="858" t="e">
        <f>C63*0.4724</f>
        <v>#REF!</v>
      </c>
      <c r="E63" s="836" t="e">
        <f>D63+C63</f>
        <v>#REF!</v>
      </c>
      <c r="F63" s="837">
        <f>K52*5</f>
        <v>0</v>
      </c>
      <c r="G63" s="929">
        <f>K52*5*3</f>
        <v>0</v>
      </c>
    </row>
    <row r="64" spans="1:12">
      <c r="A64" s="917"/>
      <c r="B64" s="850">
        <f>I52*6*7</f>
        <v>0</v>
      </c>
      <c r="C64" s="833">
        <f>F52*6*7</f>
        <v>0</v>
      </c>
      <c r="D64" s="858">
        <f>C64*0.4724</f>
        <v>0</v>
      </c>
      <c r="E64" s="836">
        <f>D64+C64</f>
        <v>0</v>
      </c>
      <c r="F64" s="837">
        <f>K52*6</f>
        <v>0</v>
      </c>
      <c r="G64" s="929">
        <f>K52*6*7</f>
        <v>0</v>
      </c>
    </row>
    <row r="65" spans="1:9">
      <c r="A65" s="919"/>
      <c r="B65" s="854">
        <f>SUM(B62:B64)</f>
        <v>83984.040000000008</v>
      </c>
      <c r="C65" s="833" t="e">
        <f>SUM(C62:C64)</f>
        <v>#REF!</v>
      </c>
      <c r="D65" s="858" t="e">
        <f>SUM(D62:D64)</f>
        <v>#REF!</v>
      </c>
      <c r="E65" s="838" t="e">
        <f>SUM(E62:E64)</f>
        <v>#REF!</v>
      </c>
      <c r="F65" s="839"/>
      <c r="G65" s="930">
        <f>SUM(G62:G64)</f>
        <v>76681.08</v>
      </c>
    </row>
    <row r="66" spans="1:9">
      <c r="A66" s="317"/>
      <c r="B66" s="851"/>
      <c r="C66" s="777"/>
      <c r="D66" s="859" t="e">
        <f>D65+C65</f>
        <v>#REF!</v>
      </c>
      <c r="E66" s="777"/>
      <c r="F66" s="837"/>
      <c r="G66" s="931"/>
    </row>
    <row r="67" spans="1:9">
      <c r="A67" s="932" t="s">
        <v>394</v>
      </c>
      <c r="B67" s="852">
        <f>I29*12</f>
        <v>13997.34</v>
      </c>
      <c r="C67" s="844">
        <f>F29*12</f>
        <v>9518.1912000000011</v>
      </c>
      <c r="D67" s="862">
        <f>C67*0.4724</f>
        <v>4496.3935228800001</v>
      </c>
      <c r="E67" s="844">
        <f>D67+C67</f>
        <v>14014.584722880001</v>
      </c>
      <c r="F67" s="833">
        <f>K54*4</f>
        <v>0</v>
      </c>
      <c r="G67" s="933"/>
      <c r="I67" s="778">
        <f>9520+4580</f>
        <v>14100</v>
      </c>
    </row>
    <row r="68" spans="1:9" ht="15.75" thickBot="1">
      <c r="A68" s="934" t="s">
        <v>396</v>
      </c>
      <c r="B68" s="935"/>
      <c r="C68" s="936"/>
      <c r="D68" s="937">
        <f>D67+C67</f>
        <v>14014.584722880001</v>
      </c>
      <c r="E68" s="936"/>
      <c r="F68" s="938"/>
      <c r="G68" s="939">
        <f>G65+F67</f>
        <v>76681.08</v>
      </c>
    </row>
    <row r="69" spans="1:9" ht="16.5" thickTop="1" thickBot="1"/>
    <row r="70" spans="1:9" ht="15.75" thickTop="1">
      <c r="A70" s="940" t="s">
        <v>406</v>
      </c>
      <c r="B70" s="941" t="s">
        <v>386</v>
      </c>
      <c r="C70" s="942" t="s">
        <v>387</v>
      </c>
      <c r="D70" s="943" t="s">
        <v>388</v>
      </c>
      <c r="E70" s="943" t="s">
        <v>389</v>
      </c>
      <c r="F70" s="944" t="s">
        <v>390</v>
      </c>
      <c r="G70" s="945" t="s">
        <v>391</v>
      </c>
    </row>
    <row r="71" spans="1:9" ht="15.75" thickBot="1">
      <c r="A71" s="946" t="s">
        <v>407</v>
      </c>
      <c r="B71" s="947">
        <f>I14*12</f>
        <v>21902.400000000001</v>
      </c>
      <c r="C71" s="948">
        <f>F14*12</f>
        <v>12654.72</v>
      </c>
      <c r="D71" s="949">
        <f>C71*0.73</f>
        <v>9237.9455999999991</v>
      </c>
      <c r="E71" s="950">
        <f>D71+C71</f>
        <v>21892.6656</v>
      </c>
      <c r="F71" s="951">
        <f>K37*6</f>
        <v>0</v>
      </c>
      <c r="G71" s="952">
        <f>K37*12*6</f>
        <v>0</v>
      </c>
    </row>
    <row r="72" spans="1:9" ht="15.75" thickTop="1"/>
  </sheetData>
  <sheetProtection password="CDAE" sheet="1"/>
  <mergeCells count="3">
    <mergeCell ref="A53:B53"/>
    <mergeCell ref="D53:E53"/>
    <mergeCell ref="A1:L1"/>
  </mergeCells>
  <pageMargins left="3.937007874015748E-2" right="3.937007874015748E-2" top="3.937007874015748E-2" bottom="3.937007874015748E-2" header="0" footer="0"/>
  <pageSetup paperSize="9" scale="5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2"/>
  <sheetViews>
    <sheetView showGridLines="0" showRowColHeaders="0" workbookViewId="0">
      <selection activeCell="D13" sqref="D13"/>
    </sheetView>
  </sheetViews>
  <sheetFormatPr baseColWidth="10" defaultColWidth="11.42578125" defaultRowHeight="18"/>
  <cols>
    <col min="1" max="1" width="6" style="91" customWidth="1"/>
    <col min="2" max="2" width="22.5703125" style="92" customWidth="1"/>
    <col min="3" max="6" width="10.7109375" style="93" customWidth="1"/>
    <col min="7" max="7" width="17" style="93" customWidth="1"/>
    <col min="8" max="8" width="21.42578125" style="93" customWidth="1"/>
    <col min="9" max="11" width="13.28515625" style="93" customWidth="1"/>
    <col min="12" max="12" width="11.42578125" style="93"/>
    <col min="13" max="16384" width="11.42578125" style="83"/>
  </cols>
  <sheetData>
    <row r="1" spans="1:12" ht="19.5" thickTop="1" thickBot="1">
      <c r="A1" s="1171" t="s">
        <v>50</v>
      </c>
      <c r="B1" s="1172"/>
      <c r="C1" s="1172"/>
      <c r="D1" s="1172"/>
      <c r="E1" s="1172"/>
      <c r="F1" s="1172"/>
      <c r="G1" s="1172"/>
      <c r="H1" s="1172"/>
      <c r="I1" s="1172"/>
      <c r="J1" s="1172"/>
      <c r="K1" s="1172"/>
      <c r="L1" s="1173"/>
    </row>
    <row r="2" spans="1:12" s="87" customFormat="1" ht="34.5" thickTop="1" thickBot="1">
      <c r="A2" s="1177" t="s">
        <v>51</v>
      </c>
      <c r="B2" s="1178"/>
      <c r="C2" s="1174" t="s">
        <v>56</v>
      </c>
      <c r="D2" s="1175"/>
      <c r="E2" s="1175"/>
      <c r="F2" s="1176"/>
      <c r="G2" s="84" t="s">
        <v>52</v>
      </c>
      <c r="H2" s="85" t="s">
        <v>42</v>
      </c>
      <c r="I2" s="85" t="s">
        <v>44</v>
      </c>
      <c r="J2" s="85" t="s">
        <v>53</v>
      </c>
      <c r="K2" s="85" t="s">
        <v>45</v>
      </c>
      <c r="L2" s="86"/>
    </row>
    <row r="3" spans="1:12" ht="27" customHeight="1" thickTop="1" thickBot="1">
      <c r="A3" s="88">
        <v>1</v>
      </c>
      <c r="B3" s="103" t="s">
        <v>49</v>
      </c>
      <c r="C3" s="104" t="s">
        <v>55</v>
      </c>
      <c r="D3" s="105"/>
      <c r="E3" s="105"/>
      <c r="F3" s="104"/>
      <c r="G3" s="106" t="s">
        <v>57</v>
      </c>
      <c r="H3" s="71" t="s">
        <v>43</v>
      </c>
      <c r="I3" s="71" t="s">
        <v>54</v>
      </c>
      <c r="J3" s="71"/>
      <c r="K3" s="71"/>
      <c r="L3" s="107"/>
    </row>
    <row r="4" spans="1:12" ht="27" customHeight="1" thickTop="1" thickBot="1">
      <c r="A4" s="89">
        <v>2</v>
      </c>
      <c r="B4" s="108" t="s">
        <v>21</v>
      </c>
      <c r="C4" s="109"/>
      <c r="D4" s="110"/>
      <c r="E4" s="110"/>
      <c r="F4" s="109"/>
      <c r="G4" s="111"/>
      <c r="H4" s="112"/>
      <c r="I4" s="112"/>
      <c r="J4" s="112"/>
      <c r="K4" s="112"/>
      <c r="L4" s="113"/>
    </row>
    <row r="5" spans="1:12" ht="27" customHeight="1" thickTop="1" thickBot="1">
      <c r="A5" s="89">
        <v>3</v>
      </c>
      <c r="B5" s="108" t="s">
        <v>22</v>
      </c>
      <c r="C5" s="109"/>
      <c r="D5" s="110"/>
      <c r="E5" s="110"/>
      <c r="F5" s="109"/>
      <c r="G5" s="111"/>
      <c r="H5" s="112"/>
      <c r="I5" s="112"/>
      <c r="J5" s="112"/>
      <c r="K5" s="112"/>
      <c r="L5" s="113"/>
    </row>
    <row r="6" spans="1:12" ht="27" customHeight="1" thickTop="1" thickBot="1">
      <c r="A6" s="89">
        <v>4</v>
      </c>
      <c r="B6" s="108" t="s">
        <v>23</v>
      </c>
      <c r="C6" s="109"/>
      <c r="D6" s="110"/>
      <c r="E6" s="110"/>
      <c r="F6" s="109"/>
      <c r="G6" s="111"/>
      <c r="H6" s="112"/>
      <c r="I6" s="112"/>
      <c r="J6" s="112"/>
      <c r="K6" s="112"/>
      <c r="L6" s="113"/>
    </row>
    <row r="7" spans="1:12" ht="27" customHeight="1" thickTop="1" thickBot="1">
      <c r="A7" s="89">
        <v>5</v>
      </c>
      <c r="B7" s="108" t="s">
        <v>24</v>
      </c>
      <c r="C7" s="109"/>
      <c r="D7" s="110"/>
      <c r="E7" s="110"/>
      <c r="F7" s="109"/>
      <c r="G7" s="111"/>
      <c r="H7" s="112"/>
      <c r="I7" s="112"/>
      <c r="J7" s="112"/>
      <c r="K7" s="112"/>
      <c r="L7" s="113"/>
    </row>
    <row r="8" spans="1:12" ht="27" customHeight="1" thickTop="1" thickBot="1">
      <c r="A8" s="89">
        <v>6</v>
      </c>
      <c r="B8" s="108"/>
      <c r="C8" s="109"/>
      <c r="D8" s="110"/>
      <c r="E8" s="110"/>
      <c r="F8" s="109"/>
      <c r="G8" s="111"/>
      <c r="H8" s="112"/>
      <c r="I8" s="112"/>
      <c r="J8" s="112"/>
      <c r="K8" s="112"/>
      <c r="L8" s="113"/>
    </row>
    <row r="9" spans="1:12" ht="27" customHeight="1" thickTop="1" thickBot="1">
      <c r="A9" s="89">
        <v>7</v>
      </c>
      <c r="B9" s="108"/>
      <c r="C9" s="109"/>
      <c r="D9" s="110"/>
      <c r="E9" s="110"/>
      <c r="F9" s="109"/>
      <c r="G9" s="111"/>
      <c r="H9" s="112"/>
      <c r="I9" s="112"/>
      <c r="J9" s="112"/>
      <c r="K9" s="112"/>
      <c r="L9" s="113"/>
    </row>
    <row r="10" spans="1:12" ht="27" customHeight="1" thickTop="1" thickBot="1">
      <c r="A10" s="89">
        <v>8</v>
      </c>
      <c r="B10" s="108"/>
      <c r="C10" s="109"/>
      <c r="D10" s="110"/>
      <c r="E10" s="110"/>
      <c r="F10" s="109"/>
      <c r="G10" s="111"/>
      <c r="H10" s="112"/>
      <c r="I10" s="112"/>
      <c r="J10" s="112"/>
      <c r="K10" s="112"/>
      <c r="L10" s="113"/>
    </row>
    <row r="11" spans="1:12" ht="27" customHeight="1" thickTop="1" thickBot="1">
      <c r="A11" s="89">
        <v>9</v>
      </c>
      <c r="B11" s="108"/>
      <c r="C11" s="109"/>
      <c r="D11" s="110"/>
      <c r="E11" s="110"/>
      <c r="F11" s="109"/>
      <c r="G11" s="111"/>
      <c r="H11" s="112"/>
      <c r="I11" s="112"/>
      <c r="J11" s="112"/>
      <c r="K11" s="112"/>
      <c r="L11" s="113"/>
    </row>
    <row r="12" spans="1:12" ht="27" customHeight="1" thickTop="1" thickBot="1">
      <c r="A12" s="89">
        <v>10</v>
      </c>
      <c r="B12" s="108"/>
      <c r="C12" s="109"/>
      <c r="D12" s="110"/>
      <c r="E12" s="110"/>
      <c r="F12" s="109"/>
      <c r="G12" s="111"/>
      <c r="H12" s="112"/>
      <c r="I12" s="112"/>
      <c r="J12" s="112"/>
      <c r="K12" s="112"/>
      <c r="L12" s="113"/>
    </row>
    <row r="13" spans="1:12" ht="27" customHeight="1" thickTop="1" thickBot="1">
      <c r="A13" s="89">
        <v>11</v>
      </c>
      <c r="B13" s="108"/>
      <c r="C13" s="109"/>
      <c r="D13" s="110"/>
      <c r="E13" s="110"/>
      <c r="F13" s="109"/>
      <c r="G13" s="111"/>
      <c r="H13" s="112"/>
      <c r="I13" s="112"/>
      <c r="J13" s="112"/>
      <c r="K13" s="112"/>
      <c r="L13" s="113"/>
    </row>
    <row r="14" spans="1:12" ht="27" customHeight="1" thickTop="1" thickBot="1">
      <c r="A14" s="89">
        <v>12</v>
      </c>
      <c r="B14" s="108"/>
      <c r="C14" s="109"/>
      <c r="D14" s="110"/>
      <c r="E14" s="110"/>
      <c r="F14" s="109"/>
      <c r="G14" s="111"/>
      <c r="H14" s="112"/>
      <c r="I14" s="112"/>
      <c r="J14" s="112"/>
      <c r="K14" s="112"/>
      <c r="L14" s="113"/>
    </row>
    <row r="15" spans="1:12" ht="27" customHeight="1" thickTop="1" thickBot="1">
      <c r="A15" s="89">
        <v>13</v>
      </c>
      <c r="B15" s="108"/>
      <c r="C15" s="109"/>
      <c r="D15" s="110"/>
      <c r="E15" s="110"/>
      <c r="F15" s="109"/>
      <c r="G15" s="111"/>
      <c r="H15" s="112"/>
      <c r="I15" s="112"/>
      <c r="J15" s="112"/>
      <c r="K15" s="112"/>
      <c r="L15" s="113"/>
    </row>
    <row r="16" spans="1:12" ht="27" customHeight="1" thickTop="1" thickBot="1">
      <c r="A16" s="89">
        <v>14</v>
      </c>
      <c r="B16" s="108"/>
      <c r="C16" s="109"/>
      <c r="D16" s="110"/>
      <c r="E16" s="110"/>
      <c r="F16" s="109"/>
      <c r="G16" s="111"/>
      <c r="H16" s="112"/>
      <c r="I16" s="112"/>
      <c r="J16" s="112"/>
      <c r="K16" s="112"/>
      <c r="L16" s="113"/>
    </row>
    <row r="17" spans="1:12" ht="27" customHeight="1" thickTop="1" thickBot="1">
      <c r="A17" s="89">
        <v>15</v>
      </c>
      <c r="B17" s="108"/>
      <c r="C17" s="109"/>
      <c r="D17" s="110"/>
      <c r="E17" s="110"/>
      <c r="F17" s="109"/>
      <c r="G17" s="111"/>
      <c r="H17" s="112"/>
      <c r="I17" s="112"/>
      <c r="J17" s="112"/>
      <c r="K17" s="112"/>
      <c r="L17" s="113"/>
    </row>
    <row r="18" spans="1:12" ht="27" customHeight="1" thickTop="1" thickBot="1">
      <c r="A18" s="89">
        <v>16</v>
      </c>
      <c r="B18" s="108"/>
      <c r="C18" s="109"/>
      <c r="D18" s="110"/>
      <c r="E18" s="110"/>
      <c r="F18" s="109"/>
      <c r="G18" s="111"/>
      <c r="H18" s="112"/>
      <c r="I18" s="112"/>
      <c r="J18" s="112"/>
      <c r="K18" s="112"/>
      <c r="L18" s="113"/>
    </row>
    <row r="19" spans="1:12" ht="27" customHeight="1" thickTop="1" thickBot="1">
      <c r="A19" s="89">
        <v>17</v>
      </c>
      <c r="B19" s="108"/>
      <c r="C19" s="109"/>
      <c r="D19" s="110"/>
      <c r="E19" s="110"/>
      <c r="F19" s="109"/>
      <c r="G19" s="111"/>
      <c r="H19" s="112"/>
      <c r="I19" s="112"/>
      <c r="J19" s="112"/>
      <c r="K19" s="112"/>
      <c r="L19" s="113"/>
    </row>
    <row r="20" spans="1:12" ht="27" customHeight="1" thickTop="1" thickBot="1">
      <c r="A20" s="89">
        <v>18</v>
      </c>
      <c r="B20" s="108"/>
      <c r="C20" s="109"/>
      <c r="D20" s="110"/>
      <c r="E20" s="110"/>
      <c r="F20" s="109"/>
      <c r="G20" s="111"/>
      <c r="H20" s="112"/>
      <c r="I20" s="112"/>
      <c r="J20" s="112"/>
      <c r="K20" s="112"/>
      <c r="L20" s="113"/>
    </row>
    <row r="21" spans="1:12" ht="27" customHeight="1" thickTop="1" thickBot="1">
      <c r="A21" s="90">
        <v>19</v>
      </c>
      <c r="B21" s="114"/>
      <c r="C21" s="115"/>
      <c r="D21" s="116"/>
      <c r="E21" s="116"/>
      <c r="F21" s="115"/>
      <c r="G21" s="117"/>
      <c r="H21" s="118"/>
      <c r="I21" s="118"/>
      <c r="J21" s="118"/>
      <c r="K21" s="118"/>
      <c r="L21" s="119"/>
    </row>
    <row r="22" spans="1:12" ht="18.75" thickTop="1"/>
  </sheetData>
  <sheetProtection password="CDAE" sheet="1" objects="1" scenarios="1" selectLockedCells="1"/>
  <mergeCells count="3">
    <mergeCell ref="A1:L1"/>
    <mergeCell ref="C2:F2"/>
    <mergeCell ref="A2:B2"/>
  </mergeCells>
  <pageMargins left="3.937007874015748E-2" right="3.937007874015748E-2" top="3.937007874015748E-2" bottom="3.937007874015748E-2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Q47"/>
  <sheetViews>
    <sheetView topLeftCell="A15" zoomScale="85" zoomScaleNormal="85" workbookViewId="0">
      <selection activeCell="C3" sqref="C3"/>
    </sheetView>
  </sheetViews>
  <sheetFormatPr baseColWidth="10" defaultColWidth="11.42578125" defaultRowHeight="12.75"/>
  <cols>
    <col min="1" max="1" width="4.28515625" style="7" customWidth="1"/>
    <col min="2" max="2" width="30.28515625" style="5" customWidth="1"/>
    <col min="3" max="68" width="4.28515625" style="3" customWidth="1"/>
    <col min="69" max="69" width="9" style="9" customWidth="1"/>
    <col min="70" max="16384" width="11.42578125" style="5"/>
  </cols>
  <sheetData>
    <row r="1" spans="1:69" s="2" customFormat="1" ht="129.94999999999999" customHeight="1" thickTop="1" thickBot="1">
      <c r="A1" s="1189" t="s">
        <v>25</v>
      </c>
      <c r="B1" s="1190"/>
      <c r="C1" s="1183" t="s">
        <v>649</v>
      </c>
      <c r="D1" s="1184"/>
      <c r="E1" s="1185"/>
      <c r="F1" s="1183" t="s">
        <v>628</v>
      </c>
      <c r="G1" s="1184"/>
      <c r="H1" s="1185"/>
      <c r="I1" s="1183" t="s">
        <v>629</v>
      </c>
      <c r="J1" s="1184"/>
      <c r="K1" s="1185"/>
      <c r="L1" s="1183" t="s">
        <v>630</v>
      </c>
      <c r="M1" s="1184"/>
      <c r="N1" s="1185"/>
      <c r="O1" s="1183" t="s">
        <v>631</v>
      </c>
      <c r="P1" s="1184"/>
      <c r="Q1" s="1185"/>
      <c r="R1" s="1183" t="s">
        <v>632</v>
      </c>
      <c r="S1" s="1184"/>
      <c r="T1" s="1185"/>
      <c r="U1" s="1183" t="s">
        <v>633</v>
      </c>
      <c r="V1" s="1184"/>
      <c r="W1" s="1185"/>
      <c r="X1" s="1183" t="s">
        <v>634</v>
      </c>
      <c r="Y1" s="1184"/>
      <c r="Z1" s="1185"/>
      <c r="AA1" s="1183" t="s">
        <v>635</v>
      </c>
      <c r="AB1" s="1184"/>
      <c r="AC1" s="1185"/>
      <c r="AD1" s="1183" t="s">
        <v>636</v>
      </c>
      <c r="AE1" s="1184"/>
      <c r="AF1" s="1185"/>
      <c r="AG1" s="1183" t="s">
        <v>637</v>
      </c>
      <c r="AH1" s="1184"/>
      <c r="AI1" s="1185"/>
      <c r="AJ1" s="1183" t="s">
        <v>638</v>
      </c>
      <c r="AK1" s="1184"/>
      <c r="AL1" s="1185"/>
      <c r="AM1" s="1183" t="s">
        <v>639</v>
      </c>
      <c r="AN1" s="1184"/>
      <c r="AO1" s="1185"/>
      <c r="AP1" s="1183" t="s">
        <v>640</v>
      </c>
      <c r="AQ1" s="1184"/>
      <c r="AR1" s="1185"/>
      <c r="AS1" s="1183" t="s">
        <v>641</v>
      </c>
      <c r="AT1" s="1184"/>
      <c r="AU1" s="1185"/>
      <c r="AV1" s="1183" t="s">
        <v>642</v>
      </c>
      <c r="AW1" s="1184"/>
      <c r="AX1" s="1185"/>
      <c r="AY1" s="1183" t="s">
        <v>643</v>
      </c>
      <c r="AZ1" s="1184"/>
      <c r="BA1" s="1185"/>
      <c r="BB1" s="1183" t="s">
        <v>644</v>
      </c>
      <c r="BC1" s="1184"/>
      <c r="BD1" s="1185"/>
      <c r="BE1" s="1183" t="s">
        <v>645</v>
      </c>
      <c r="BF1" s="1184"/>
      <c r="BG1" s="1185"/>
      <c r="BH1" s="1183" t="s">
        <v>646</v>
      </c>
      <c r="BI1" s="1184"/>
      <c r="BJ1" s="1185"/>
      <c r="BK1" s="1183" t="s">
        <v>647</v>
      </c>
      <c r="BL1" s="1184"/>
      <c r="BM1" s="1185"/>
      <c r="BN1" s="1183" t="s">
        <v>648</v>
      </c>
      <c r="BO1" s="1191"/>
      <c r="BP1" s="1192"/>
      <c r="BQ1" s="1186" t="s">
        <v>20</v>
      </c>
    </row>
    <row r="2" spans="1:69" s="6" customFormat="1" ht="17.25" customHeight="1" thickBot="1">
      <c r="A2" s="1179" t="s">
        <v>19</v>
      </c>
      <c r="B2" s="1128" t="s">
        <v>18</v>
      </c>
      <c r="C2" s="1125">
        <v>1</v>
      </c>
      <c r="D2" s="1126">
        <v>3</v>
      </c>
      <c r="E2" s="1127">
        <v>5</v>
      </c>
      <c r="F2" s="1125">
        <v>1</v>
      </c>
      <c r="G2" s="1126"/>
      <c r="H2" s="1127"/>
      <c r="I2" s="1125">
        <v>1</v>
      </c>
      <c r="J2" s="1126">
        <v>3</v>
      </c>
      <c r="K2" s="1127">
        <v>5</v>
      </c>
      <c r="L2" s="1125">
        <v>1</v>
      </c>
      <c r="M2" s="1126">
        <v>3</v>
      </c>
      <c r="N2" s="1127"/>
      <c r="O2" s="1125">
        <v>3</v>
      </c>
      <c r="P2" s="1126">
        <v>4</v>
      </c>
      <c r="Q2" s="1127">
        <v>5</v>
      </c>
      <c r="R2" s="1125">
        <v>3</v>
      </c>
      <c r="S2" s="1126">
        <v>4</v>
      </c>
      <c r="T2" s="1127">
        <v>5</v>
      </c>
      <c r="U2" s="1125">
        <v>3</v>
      </c>
      <c r="V2" s="1126">
        <v>4</v>
      </c>
      <c r="W2" s="1127">
        <v>5</v>
      </c>
      <c r="X2" s="1125">
        <v>2</v>
      </c>
      <c r="Y2" s="1126">
        <v>4</v>
      </c>
      <c r="Z2" s="1127">
        <v>5</v>
      </c>
      <c r="AA2" s="1125">
        <v>3</v>
      </c>
      <c r="AB2" s="1126">
        <v>4</v>
      </c>
      <c r="AC2" s="1127">
        <v>5</v>
      </c>
      <c r="AD2" s="1125">
        <v>1</v>
      </c>
      <c r="AE2" s="1126">
        <v>2</v>
      </c>
      <c r="AF2" s="1127">
        <v>3</v>
      </c>
      <c r="AG2" s="1125">
        <v>1</v>
      </c>
      <c r="AH2" s="1126">
        <v>2</v>
      </c>
      <c r="AI2" s="1127">
        <v>5</v>
      </c>
      <c r="AJ2" s="1125">
        <v>1</v>
      </c>
      <c r="AK2" s="1126">
        <v>2</v>
      </c>
      <c r="AL2" s="1127">
        <v>4</v>
      </c>
      <c r="AM2" s="1125">
        <v>1</v>
      </c>
      <c r="AN2" s="1126">
        <v>2</v>
      </c>
      <c r="AO2" s="1127">
        <v>3</v>
      </c>
      <c r="AP2" s="1125">
        <v>1</v>
      </c>
      <c r="AQ2" s="1126">
        <v>2</v>
      </c>
      <c r="AR2" s="1127">
        <v>3</v>
      </c>
      <c r="AS2" s="1125">
        <v>1</v>
      </c>
      <c r="AT2" s="1126">
        <v>2</v>
      </c>
      <c r="AU2" s="1127">
        <v>3</v>
      </c>
      <c r="AV2" s="1125">
        <v>1</v>
      </c>
      <c r="AW2" s="1126">
        <v>2</v>
      </c>
      <c r="AX2" s="1127">
        <v>3</v>
      </c>
      <c r="AY2" s="1125">
        <v>1</v>
      </c>
      <c r="AZ2" s="1126">
        <v>2</v>
      </c>
      <c r="BA2" s="1127">
        <v>3</v>
      </c>
      <c r="BB2" s="1125">
        <v>1</v>
      </c>
      <c r="BC2" s="1126">
        <v>2</v>
      </c>
      <c r="BD2" s="1127">
        <v>3</v>
      </c>
      <c r="BE2" s="1125">
        <v>1</v>
      </c>
      <c r="BF2" s="1126">
        <v>2</v>
      </c>
      <c r="BG2" s="1127">
        <v>3</v>
      </c>
      <c r="BH2" s="1125">
        <v>1</v>
      </c>
      <c r="BI2" s="1126">
        <v>2</v>
      </c>
      <c r="BJ2" s="1127">
        <v>3</v>
      </c>
      <c r="BK2" s="1125">
        <v>1</v>
      </c>
      <c r="BL2" s="1126">
        <v>2</v>
      </c>
      <c r="BM2" s="1127">
        <v>3</v>
      </c>
      <c r="BN2" s="1125"/>
      <c r="BO2" s="1126"/>
      <c r="BP2" s="1127"/>
      <c r="BQ2" s="1187"/>
    </row>
    <row r="3" spans="1:69" s="2" customFormat="1" ht="110.1" customHeight="1" thickBot="1">
      <c r="A3" s="1180"/>
      <c r="B3" s="1121" t="s">
        <v>626</v>
      </c>
      <c r="C3" s="1122" t="str">
        <f ca="1">IF(C2="","",OFFSET(BaseDeDonnéesClients!B$3,RelevéHeuresChantiersParMois!C2-1,0))</f>
        <v>Commune MONTMELIAN</v>
      </c>
      <c r="D3" s="1123" t="str">
        <f ca="1">IF(D2="","",OFFSET(BaseDeDonnéesClients!B$3,RelevéHeuresChantiersParMois!D2-1,0))</f>
        <v>Communauté Com</v>
      </c>
      <c r="E3" s="1124" t="str">
        <f ca="1">IF(E2="","",OFFSET(BaseDeDonnéesClients!B$3,RelevéHeuresChantiersParMois!E2-1,0))</f>
        <v>LENOIR Hervé</v>
      </c>
      <c r="F3" s="1122" t="str">
        <f ca="1">IF(F2="","",OFFSET(BaseDeDonnéesClients!B$3,RelevéHeuresChantiersParMois!F2-1,0))</f>
        <v>Commune MONTMELIAN</v>
      </c>
      <c r="G3" s="1123" t="str">
        <f ca="1">IF(G2="","",OFFSET(BaseDeDonnéesClients!B$3,RelevéHeuresChantiersParMois!G2-1,0))</f>
        <v/>
      </c>
      <c r="H3" s="1124" t="str">
        <f ca="1">IF(H2="","",OFFSET(BaseDeDonnéesClients!B$3,RelevéHeuresChantiersParMois!H2-1,0))</f>
        <v/>
      </c>
      <c r="I3" s="1122" t="str">
        <f ca="1">IF(I2="","",OFFSET(BaseDeDonnéesClients!B$3,RelevéHeuresChantiersParMois!I2-1,0))</f>
        <v>Commune MONTMELIAN</v>
      </c>
      <c r="J3" s="1123" t="str">
        <f ca="1">IF(J2="","",OFFSET(BaseDeDonnéesClients!B$3,RelevéHeuresChantiersParMois!J2-1,0))</f>
        <v>Communauté Com</v>
      </c>
      <c r="K3" s="1124" t="str">
        <f ca="1">IF(K2="","",OFFSET(BaseDeDonnéesClients!B$3,RelevéHeuresChantiersParMois!K2-1,0))</f>
        <v>LENOIR Hervé</v>
      </c>
      <c r="L3" s="1122" t="str">
        <f ca="1">IF(L2="","",OFFSET(BaseDeDonnéesClients!B$3,RelevéHeuresChantiersParMois!L2-1,0))</f>
        <v>Commune MONTMELIAN</v>
      </c>
      <c r="M3" s="1123" t="str">
        <f ca="1">IF(M2="","",OFFSET(BaseDeDonnéesClients!B$3,RelevéHeuresChantiersParMois!M2-1,0))</f>
        <v>Communauté Com</v>
      </c>
      <c r="N3" s="1124" t="str">
        <f ca="1">IF(N2="","",OFFSET(BaseDeDonnéesClients!B$3,RelevéHeuresChantiersParMois!N2-1,0))</f>
        <v/>
      </c>
      <c r="O3" s="1122" t="str">
        <f ca="1">IF(O2="","",OFFSET(BaseDeDonnéesClients!B$3,RelevéHeuresChantiersParMois!O2-1,0))</f>
        <v>Communauté Com</v>
      </c>
      <c r="P3" s="1123" t="str">
        <f ca="1">IF(P2="","",OFFSET(BaseDeDonnéesClients!B$3,RelevéHeuresChantiersParMois!P2-1,0))</f>
        <v>VERDIER Michel</v>
      </c>
      <c r="Q3" s="1124" t="str">
        <f ca="1">IF(Q2="","",OFFSET(BaseDeDonnéesClients!B$3,RelevéHeuresChantiersParMois!Q2-1,0))</f>
        <v>LENOIR Hervé</v>
      </c>
      <c r="R3" s="1122" t="str">
        <f ca="1">IF(R2="","",OFFSET(BaseDeDonnéesClients!B$3,RelevéHeuresChantiersParMois!R2-1,0))</f>
        <v>Communauté Com</v>
      </c>
      <c r="S3" s="1123" t="str">
        <f ca="1">IF(S2="","",OFFSET(BaseDeDonnéesClients!B$3,RelevéHeuresChantiersParMois!S2-1,0))</f>
        <v>VERDIER Michel</v>
      </c>
      <c r="T3" s="1124" t="str">
        <f ca="1">IF(T2="","",OFFSET(BaseDeDonnéesClients!B$3,RelevéHeuresChantiersParMois!T2-1,0))</f>
        <v>LENOIR Hervé</v>
      </c>
      <c r="U3" s="1122" t="str">
        <f ca="1">IF(U2="","",OFFSET(BaseDeDonnéesClients!B$3,RelevéHeuresChantiersParMois!U2-1,0))</f>
        <v>Communauté Com</v>
      </c>
      <c r="V3" s="1123" t="str">
        <f ca="1">IF(V2="","",OFFSET(BaseDeDonnéesClients!B$3,RelevéHeuresChantiersParMois!V2-1,0))</f>
        <v>VERDIER Michel</v>
      </c>
      <c r="W3" s="1124" t="str">
        <f ca="1">IF(W2="","",OFFSET(BaseDeDonnéesClients!B$3,RelevéHeuresChantiersParMois!W2-1,0))</f>
        <v>LENOIR Hervé</v>
      </c>
      <c r="X3" s="1122" t="str">
        <f ca="1">IF(X2="","",OFFSET(BaseDeDonnéesClients!B$3,RelevéHeuresChantiersParMois!X2-1,0))</f>
        <v>Com ST PIERRE ALBIGNY</v>
      </c>
      <c r="Y3" s="1123" t="str">
        <f ca="1">IF(Y2="","",OFFSET(BaseDeDonnéesClients!B$3,RelevéHeuresChantiersParMois!Y2-1,0))</f>
        <v>VERDIER Michel</v>
      </c>
      <c r="Z3" s="1124" t="str">
        <f ca="1">IF(Z2="","",OFFSET(BaseDeDonnéesClients!B$3,RelevéHeuresChantiersParMois!Z2-1,0))</f>
        <v>LENOIR Hervé</v>
      </c>
      <c r="AA3" s="1122" t="str">
        <f ca="1">IF(AA2="","",OFFSET(BaseDeDonnéesClients!B$3,RelevéHeuresChantiersParMois!AA2-1,0))</f>
        <v>Communauté Com</v>
      </c>
      <c r="AB3" s="1123" t="str">
        <f ca="1">IF(AB2="","",OFFSET(BaseDeDonnéesClients!B$3,RelevéHeuresChantiersParMois!AB2-1,0))</f>
        <v>VERDIER Michel</v>
      </c>
      <c r="AC3" s="1124" t="str">
        <f ca="1">IF(AC2="","",OFFSET(BaseDeDonnéesClients!B$3,RelevéHeuresChantiersParMois!AC2-1,0))</f>
        <v>LENOIR Hervé</v>
      </c>
      <c r="AD3" s="1122" t="str">
        <f ca="1">IF(AD2="","",OFFSET(BaseDeDonnéesClients!B$3,RelevéHeuresChantiersParMois!AD2-1,0))</f>
        <v>Commune MONTMELIAN</v>
      </c>
      <c r="AE3" s="1123" t="str">
        <f ca="1">IF(AE2="","",OFFSET(BaseDeDonnéesClients!B$3,RelevéHeuresChantiersParMois!AE2-1,0))</f>
        <v>Com ST PIERRE ALBIGNY</v>
      </c>
      <c r="AF3" s="1124" t="str">
        <f ca="1">IF(AF2="","",OFFSET(BaseDeDonnéesClients!B$3,RelevéHeuresChantiersParMois!AF2-1,0))</f>
        <v>Communauté Com</v>
      </c>
      <c r="AG3" s="1122" t="str">
        <f ca="1">IF(AG2="","",OFFSET(BaseDeDonnéesClients!B$3,RelevéHeuresChantiersParMois!AG2-1,0))</f>
        <v>Commune MONTMELIAN</v>
      </c>
      <c r="AH3" s="1123" t="str">
        <f ca="1">IF(AH2="","",OFFSET(BaseDeDonnéesClients!B$3,RelevéHeuresChantiersParMois!AH2-1,0))</f>
        <v>Com ST PIERRE ALBIGNY</v>
      </c>
      <c r="AI3" s="1124" t="str">
        <f ca="1">IF(AI2="","",OFFSET(BaseDeDonnéesClients!B$3,RelevéHeuresChantiersParMois!AI2-1,0))</f>
        <v>LENOIR Hervé</v>
      </c>
      <c r="AJ3" s="1122" t="str">
        <f ca="1">IF(AJ2="","",OFFSET(BaseDeDonnéesClients!B$3,RelevéHeuresChantiersParMois!AJ2-1,0))</f>
        <v>Commune MONTMELIAN</v>
      </c>
      <c r="AK3" s="1123" t="str">
        <f ca="1">IF(AK2="","",OFFSET(BaseDeDonnéesClients!B$3,RelevéHeuresChantiersParMois!AK2-1,0))</f>
        <v>Com ST PIERRE ALBIGNY</v>
      </c>
      <c r="AL3" s="1124" t="str">
        <f ca="1">IF(AL2="","",OFFSET(BaseDeDonnéesClients!B$3,RelevéHeuresChantiersParMois!AL2-1,0))</f>
        <v>VERDIER Michel</v>
      </c>
      <c r="AM3" s="1122" t="str">
        <f ca="1">IF(AM2="","",OFFSET(BaseDeDonnéesClients!B$3,RelevéHeuresChantiersParMois!AM2-1,0))</f>
        <v>Commune MONTMELIAN</v>
      </c>
      <c r="AN3" s="1123" t="str">
        <f ca="1">IF(AN2="","",OFFSET(BaseDeDonnéesClients!B$3,RelevéHeuresChantiersParMois!AN2-1,0))</f>
        <v>Com ST PIERRE ALBIGNY</v>
      </c>
      <c r="AO3" s="1124" t="str">
        <f ca="1">IF(AO2="","",OFFSET(BaseDeDonnéesClients!B$3,RelevéHeuresChantiersParMois!AO2-1,0))</f>
        <v>Communauté Com</v>
      </c>
      <c r="AP3" s="1122" t="str">
        <f ca="1">IF(AP2="","",OFFSET(BaseDeDonnéesClients!B$3,RelevéHeuresChantiersParMois!AP2-1,0))</f>
        <v>Commune MONTMELIAN</v>
      </c>
      <c r="AQ3" s="1123" t="str">
        <f ca="1">IF(AQ2="","",OFFSET(BaseDeDonnéesClients!B$3,RelevéHeuresChantiersParMois!AQ2-1,0))</f>
        <v>Com ST PIERRE ALBIGNY</v>
      </c>
      <c r="AR3" s="1124" t="str">
        <f ca="1">IF(AR2="","",OFFSET(BaseDeDonnéesClients!B$3,RelevéHeuresChantiersParMois!AR2-1,0))</f>
        <v>Communauté Com</v>
      </c>
      <c r="AS3" s="1122" t="str">
        <f ca="1">IF(AS2="","",OFFSET(BaseDeDonnéesClients!B$3,RelevéHeuresChantiersParMois!AS2-1,0))</f>
        <v>Commune MONTMELIAN</v>
      </c>
      <c r="AT3" s="1123" t="str">
        <f ca="1">IF(AT2="","",OFFSET(BaseDeDonnéesClients!B$3,RelevéHeuresChantiersParMois!AT2-1,0))</f>
        <v>Com ST PIERRE ALBIGNY</v>
      </c>
      <c r="AU3" s="1124" t="str">
        <f ca="1">IF(AU2="","",OFFSET(BaseDeDonnéesClients!B$3,RelevéHeuresChantiersParMois!AU2-1,0))</f>
        <v>Communauté Com</v>
      </c>
      <c r="AV3" s="1122" t="str">
        <f ca="1">IF(AV2="","",OFFSET(BaseDeDonnéesClients!B$3,RelevéHeuresChantiersParMois!AV2-1,0))</f>
        <v>Commune MONTMELIAN</v>
      </c>
      <c r="AW3" s="1123" t="str">
        <f ca="1">IF(AW2="","",OFFSET(BaseDeDonnéesClients!B$3,RelevéHeuresChantiersParMois!AW2-1,0))</f>
        <v>Com ST PIERRE ALBIGNY</v>
      </c>
      <c r="AX3" s="1124" t="str">
        <f ca="1">IF(AX2="","",OFFSET(BaseDeDonnéesClients!B$3,RelevéHeuresChantiersParMois!AX2-1,0))</f>
        <v>Communauté Com</v>
      </c>
      <c r="AY3" s="1122" t="str">
        <f ca="1">IF(AY2="","",OFFSET(BaseDeDonnéesClients!B$3,RelevéHeuresChantiersParMois!AY2-1,0))</f>
        <v>Commune MONTMELIAN</v>
      </c>
      <c r="AZ3" s="1123" t="str">
        <f ca="1">IF(AZ2="","",OFFSET(BaseDeDonnéesClients!B$3,RelevéHeuresChantiersParMois!AZ2-1,0))</f>
        <v>Com ST PIERRE ALBIGNY</v>
      </c>
      <c r="BA3" s="1124" t="str">
        <f ca="1">IF(BA2="","",OFFSET(BaseDeDonnéesClients!B$3,RelevéHeuresChantiersParMois!BA2-1,0))</f>
        <v>Communauté Com</v>
      </c>
      <c r="BB3" s="1122" t="str">
        <f ca="1">IF(BB2="","",OFFSET(BaseDeDonnéesClients!B$3,RelevéHeuresChantiersParMois!BB2-1,0))</f>
        <v>Commune MONTMELIAN</v>
      </c>
      <c r="BC3" s="1123" t="str">
        <f ca="1">IF(BC2="","",OFFSET(BaseDeDonnéesClients!B$3,RelevéHeuresChantiersParMois!BC2-1,0))</f>
        <v>Com ST PIERRE ALBIGNY</v>
      </c>
      <c r="BD3" s="1124" t="str">
        <f ca="1">IF(BD2="","",OFFSET(BaseDeDonnéesClients!B$3,RelevéHeuresChantiersParMois!BD2-1,0))</f>
        <v>Communauté Com</v>
      </c>
      <c r="BE3" s="1122" t="str">
        <f ca="1">IF(BE2="","",OFFSET(BaseDeDonnéesClients!B$3,RelevéHeuresChantiersParMois!BE2-1,0))</f>
        <v>Commune MONTMELIAN</v>
      </c>
      <c r="BF3" s="1123" t="str">
        <f ca="1">IF(BF2="","",OFFSET(BaseDeDonnéesClients!B$3,RelevéHeuresChantiersParMois!BF2-1,0))</f>
        <v>Com ST PIERRE ALBIGNY</v>
      </c>
      <c r="BG3" s="1124" t="str">
        <f ca="1">IF(BG2="","",OFFSET(BaseDeDonnéesClients!B$3,RelevéHeuresChantiersParMois!BG2-1,0))</f>
        <v>Communauté Com</v>
      </c>
      <c r="BH3" s="1122" t="str">
        <f ca="1">IF(BH2="","",OFFSET(BaseDeDonnéesClients!B$3,RelevéHeuresChantiersParMois!BH2-1,0))</f>
        <v>Commune MONTMELIAN</v>
      </c>
      <c r="BI3" s="1123" t="str">
        <f ca="1">IF(BI2="","",OFFSET(BaseDeDonnéesClients!B$3,RelevéHeuresChantiersParMois!BI2-1,0))</f>
        <v>Com ST PIERRE ALBIGNY</v>
      </c>
      <c r="BJ3" s="1124" t="str">
        <f ca="1">IF(BJ2="","",OFFSET(BaseDeDonnéesClients!B$3,RelevéHeuresChantiersParMois!BJ2-1,0))</f>
        <v>Communauté Com</v>
      </c>
      <c r="BK3" s="1122" t="str">
        <f ca="1">IF(BK2="","",OFFSET(BaseDeDonnéesClients!B$3,RelevéHeuresChantiersParMois!BK2-1,0))</f>
        <v>Commune MONTMELIAN</v>
      </c>
      <c r="BL3" s="1123" t="str">
        <f ca="1">IF(BL2="","",OFFSET(BaseDeDonnéesClients!B$3,RelevéHeuresChantiersParMois!BL2-1,0))</f>
        <v>Com ST PIERRE ALBIGNY</v>
      </c>
      <c r="BM3" s="1124" t="str">
        <f ca="1">IF(BM2="","",OFFSET(BaseDeDonnéesClients!B$3,RelevéHeuresChantiersParMois!BM2-1,0))</f>
        <v>Communauté Com</v>
      </c>
      <c r="BN3" s="1122" t="str">
        <f ca="1">IF(BN2="","",OFFSET(BaseDeDonnéesClients!B$3,RelevéHeuresChantiersParMois!BN2-1,0))</f>
        <v/>
      </c>
      <c r="BO3" s="1123" t="str">
        <f ca="1">IF(BO2="","",OFFSET(BaseDeDonnéesClients!B$3,RelevéHeuresChantiersParMois!BO2-1,0))</f>
        <v/>
      </c>
      <c r="BP3" s="1124" t="str">
        <f ca="1">IF(BP2="","",OFFSET(BaseDeDonnéesClients!B$3,RelevéHeuresChantiersParMois!BP2-1,0))</f>
        <v/>
      </c>
      <c r="BQ3" s="1188"/>
    </row>
    <row r="4" spans="1:69" s="4" customFormat="1" ht="20.100000000000001" customHeight="1" thickBot="1">
      <c r="A4" s="1116">
        <v>1</v>
      </c>
      <c r="B4" s="1062" t="str">
        <f ca="1">IF(A4="","",OFFSET(BaseDeDonnéesSalariés!B$2,RelevéHeuresChantiersParMois!A4-1,0))</f>
        <v>BOISSELET Jean Loup</v>
      </c>
      <c r="C4" s="1063">
        <v>3.5</v>
      </c>
      <c r="D4" s="1064">
        <v>1</v>
      </c>
      <c r="E4" s="1065">
        <v>2</v>
      </c>
      <c r="F4" s="1066">
        <v>4</v>
      </c>
      <c r="G4" s="1064"/>
      <c r="H4" s="1066"/>
      <c r="I4" s="1063">
        <v>4</v>
      </c>
      <c r="J4" s="1064">
        <v>1</v>
      </c>
      <c r="K4" s="1065">
        <v>2</v>
      </c>
      <c r="L4" s="1067">
        <v>4</v>
      </c>
      <c r="M4" s="1064">
        <v>1</v>
      </c>
      <c r="N4" s="1068"/>
      <c r="O4" s="1069">
        <v>4</v>
      </c>
      <c r="P4" s="1064">
        <v>1</v>
      </c>
      <c r="Q4" s="1070">
        <v>2</v>
      </c>
      <c r="R4" s="1067">
        <v>4</v>
      </c>
      <c r="S4" s="1064">
        <v>1</v>
      </c>
      <c r="T4" s="1068">
        <v>2</v>
      </c>
      <c r="U4" s="1069">
        <v>4</v>
      </c>
      <c r="V4" s="1064">
        <v>1</v>
      </c>
      <c r="W4" s="1070">
        <v>2</v>
      </c>
      <c r="X4" s="1067">
        <v>4</v>
      </c>
      <c r="Y4" s="1064">
        <v>1</v>
      </c>
      <c r="Z4" s="1068">
        <v>2</v>
      </c>
      <c r="AA4" s="1069">
        <v>4</v>
      </c>
      <c r="AB4" s="1064">
        <v>1</v>
      </c>
      <c r="AC4" s="1070">
        <v>2</v>
      </c>
      <c r="AD4" s="1069">
        <v>4</v>
      </c>
      <c r="AE4" s="1064">
        <v>1</v>
      </c>
      <c r="AF4" s="1070">
        <v>2</v>
      </c>
      <c r="AG4" s="1069">
        <v>4</v>
      </c>
      <c r="AH4" s="1064">
        <v>1</v>
      </c>
      <c r="AI4" s="1070">
        <v>2</v>
      </c>
      <c r="AJ4" s="1067">
        <v>4</v>
      </c>
      <c r="AK4" s="1064">
        <v>1</v>
      </c>
      <c r="AL4" s="1068">
        <v>2</v>
      </c>
      <c r="AM4" s="1069">
        <v>4</v>
      </c>
      <c r="AN4" s="1064">
        <v>1</v>
      </c>
      <c r="AO4" s="1070">
        <v>2</v>
      </c>
      <c r="AP4" s="1067">
        <v>4</v>
      </c>
      <c r="AQ4" s="1064">
        <v>1</v>
      </c>
      <c r="AR4" s="1068">
        <v>2</v>
      </c>
      <c r="AS4" s="1069">
        <v>4</v>
      </c>
      <c r="AT4" s="1064">
        <v>1</v>
      </c>
      <c r="AU4" s="1070">
        <v>2</v>
      </c>
      <c r="AV4" s="1067">
        <v>4</v>
      </c>
      <c r="AW4" s="1064">
        <v>1</v>
      </c>
      <c r="AX4" s="1068">
        <v>2</v>
      </c>
      <c r="AY4" s="1069">
        <v>4</v>
      </c>
      <c r="AZ4" s="1064">
        <v>1</v>
      </c>
      <c r="BA4" s="1070">
        <v>2</v>
      </c>
      <c r="BB4" s="1067">
        <v>4</v>
      </c>
      <c r="BC4" s="1064">
        <v>1</v>
      </c>
      <c r="BD4" s="1068">
        <v>2</v>
      </c>
      <c r="BE4" s="1069">
        <v>4</v>
      </c>
      <c r="BF4" s="1064">
        <v>1</v>
      </c>
      <c r="BG4" s="1070">
        <v>2</v>
      </c>
      <c r="BH4" s="1067">
        <v>4</v>
      </c>
      <c r="BI4" s="1064">
        <v>1</v>
      </c>
      <c r="BJ4" s="1068">
        <v>2</v>
      </c>
      <c r="BK4" s="1069">
        <v>4</v>
      </c>
      <c r="BL4" s="1064">
        <v>1</v>
      </c>
      <c r="BM4" s="1070">
        <v>2</v>
      </c>
      <c r="BN4" s="1066"/>
      <c r="BO4" s="1064"/>
      <c r="BP4" s="1066"/>
      <c r="BQ4" s="1071">
        <f>SUM(C4:BP4)</f>
        <v>141.5</v>
      </c>
    </row>
    <row r="5" spans="1:69" s="4" customFormat="1" ht="20.100000000000001" customHeight="1" thickTop="1" thickBot="1">
      <c r="A5" s="1117">
        <v>2</v>
      </c>
      <c r="B5" s="1092" t="str">
        <f ca="1">IF(A5="","",OFFSET(BaseDeDonnéesSalariés!B$2,RelevéHeuresChantiersParMois!A5-1,0))</f>
        <v>BUEVOZ Eve</v>
      </c>
      <c r="C5" s="1093">
        <v>3.5</v>
      </c>
      <c r="D5" s="1094">
        <v>1</v>
      </c>
      <c r="E5" s="1095">
        <v>2</v>
      </c>
      <c r="F5" s="1096">
        <v>4</v>
      </c>
      <c r="G5" s="1094"/>
      <c r="H5" s="1096"/>
      <c r="I5" s="1093">
        <v>4</v>
      </c>
      <c r="J5" s="1094">
        <v>1</v>
      </c>
      <c r="K5" s="1095">
        <v>2</v>
      </c>
      <c r="L5" s="1097">
        <v>4</v>
      </c>
      <c r="M5" s="1094">
        <v>1</v>
      </c>
      <c r="N5" s="1098"/>
      <c r="O5" s="1099">
        <v>4</v>
      </c>
      <c r="P5" s="1094">
        <v>1</v>
      </c>
      <c r="Q5" s="1100">
        <v>2</v>
      </c>
      <c r="R5" s="1097">
        <v>4</v>
      </c>
      <c r="S5" s="1094">
        <v>1</v>
      </c>
      <c r="T5" s="1098">
        <v>2</v>
      </c>
      <c r="U5" s="1099">
        <v>4</v>
      </c>
      <c r="V5" s="1094">
        <v>1</v>
      </c>
      <c r="W5" s="1100">
        <v>2</v>
      </c>
      <c r="X5" s="1097">
        <v>4</v>
      </c>
      <c r="Y5" s="1094">
        <v>1</v>
      </c>
      <c r="Z5" s="1098">
        <v>2</v>
      </c>
      <c r="AA5" s="1099">
        <v>4</v>
      </c>
      <c r="AB5" s="1094">
        <v>1</v>
      </c>
      <c r="AC5" s="1100">
        <v>2</v>
      </c>
      <c r="AD5" s="1099">
        <v>4</v>
      </c>
      <c r="AE5" s="1094">
        <v>1</v>
      </c>
      <c r="AF5" s="1100">
        <v>2</v>
      </c>
      <c r="AG5" s="1099">
        <v>4</v>
      </c>
      <c r="AH5" s="1094">
        <v>1</v>
      </c>
      <c r="AI5" s="1100">
        <v>2</v>
      </c>
      <c r="AJ5" s="1097">
        <v>4</v>
      </c>
      <c r="AK5" s="1094">
        <v>1</v>
      </c>
      <c r="AL5" s="1098">
        <v>2</v>
      </c>
      <c r="AM5" s="1099">
        <v>4</v>
      </c>
      <c r="AN5" s="1094">
        <v>1</v>
      </c>
      <c r="AO5" s="1100">
        <v>2</v>
      </c>
      <c r="AP5" s="1097">
        <v>4</v>
      </c>
      <c r="AQ5" s="1094">
        <v>1</v>
      </c>
      <c r="AR5" s="1098">
        <v>2</v>
      </c>
      <c r="AS5" s="1099">
        <v>4</v>
      </c>
      <c r="AT5" s="1094">
        <v>1</v>
      </c>
      <c r="AU5" s="1100">
        <v>2</v>
      </c>
      <c r="AV5" s="1097">
        <v>4</v>
      </c>
      <c r="AW5" s="1094">
        <v>1</v>
      </c>
      <c r="AX5" s="1098">
        <v>2</v>
      </c>
      <c r="AY5" s="1099">
        <v>4</v>
      </c>
      <c r="AZ5" s="1094">
        <v>1</v>
      </c>
      <c r="BA5" s="1100">
        <v>2</v>
      </c>
      <c r="BB5" s="1097">
        <v>4</v>
      </c>
      <c r="BC5" s="1094">
        <v>1</v>
      </c>
      <c r="BD5" s="1098">
        <v>2</v>
      </c>
      <c r="BE5" s="1099">
        <v>4</v>
      </c>
      <c r="BF5" s="1094">
        <v>1</v>
      </c>
      <c r="BG5" s="1100">
        <v>2</v>
      </c>
      <c r="BH5" s="1097">
        <v>4</v>
      </c>
      <c r="BI5" s="1094">
        <v>1</v>
      </c>
      <c r="BJ5" s="1098">
        <v>2</v>
      </c>
      <c r="BK5" s="1099">
        <v>4</v>
      </c>
      <c r="BL5" s="1094">
        <v>1</v>
      </c>
      <c r="BM5" s="1100">
        <v>2</v>
      </c>
      <c r="BN5" s="1096"/>
      <c r="BO5" s="1094"/>
      <c r="BP5" s="1096"/>
      <c r="BQ5" s="1101">
        <f t="shared" ref="BQ5:BQ22" si="0">SUM(C5:BP5)</f>
        <v>141.5</v>
      </c>
    </row>
    <row r="6" spans="1:69" ht="20.100000000000001" customHeight="1" thickTop="1" thickBot="1">
      <c r="A6" s="1118">
        <v>3</v>
      </c>
      <c r="B6" s="1072" t="str">
        <f ca="1">IF(A6="","",OFFSET(BaseDeDonnéesSalariés!B$2,RelevéHeuresChantiersParMois!A6-1,0))</f>
        <v>CHALAND Christine</v>
      </c>
      <c r="C6" s="1073">
        <v>3.5</v>
      </c>
      <c r="D6" s="1074">
        <v>1</v>
      </c>
      <c r="E6" s="1075">
        <v>2</v>
      </c>
      <c r="F6" s="1076">
        <v>4</v>
      </c>
      <c r="G6" s="1074"/>
      <c r="H6" s="1076"/>
      <c r="I6" s="1073">
        <v>4</v>
      </c>
      <c r="J6" s="1074">
        <v>1</v>
      </c>
      <c r="K6" s="1075">
        <v>2</v>
      </c>
      <c r="L6" s="1077">
        <v>4</v>
      </c>
      <c r="M6" s="1074">
        <v>1</v>
      </c>
      <c r="N6" s="1078"/>
      <c r="O6" s="1079">
        <v>4</v>
      </c>
      <c r="P6" s="1074">
        <v>1</v>
      </c>
      <c r="Q6" s="1080">
        <v>2</v>
      </c>
      <c r="R6" s="1077">
        <v>4</v>
      </c>
      <c r="S6" s="1074">
        <v>1</v>
      </c>
      <c r="T6" s="1078">
        <v>2</v>
      </c>
      <c r="U6" s="1079">
        <v>4</v>
      </c>
      <c r="V6" s="1074">
        <v>1</v>
      </c>
      <c r="W6" s="1080">
        <v>2</v>
      </c>
      <c r="X6" s="1077">
        <v>4</v>
      </c>
      <c r="Y6" s="1074">
        <v>1</v>
      </c>
      <c r="Z6" s="1078">
        <v>2</v>
      </c>
      <c r="AA6" s="1079">
        <v>4</v>
      </c>
      <c r="AB6" s="1074">
        <v>1</v>
      </c>
      <c r="AC6" s="1080">
        <v>2</v>
      </c>
      <c r="AD6" s="1079">
        <v>4</v>
      </c>
      <c r="AE6" s="1074">
        <v>1</v>
      </c>
      <c r="AF6" s="1080">
        <v>2</v>
      </c>
      <c r="AG6" s="1079">
        <v>4</v>
      </c>
      <c r="AH6" s="1074">
        <v>1</v>
      </c>
      <c r="AI6" s="1080">
        <v>2</v>
      </c>
      <c r="AJ6" s="1077">
        <v>4</v>
      </c>
      <c r="AK6" s="1074">
        <v>1</v>
      </c>
      <c r="AL6" s="1078">
        <v>2</v>
      </c>
      <c r="AM6" s="1079">
        <v>4</v>
      </c>
      <c r="AN6" s="1074">
        <v>1</v>
      </c>
      <c r="AO6" s="1080">
        <v>2</v>
      </c>
      <c r="AP6" s="1077">
        <v>4</v>
      </c>
      <c r="AQ6" s="1074">
        <v>1</v>
      </c>
      <c r="AR6" s="1078">
        <v>2</v>
      </c>
      <c r="AS6" s="1079">
        <v>4</v>
      </c>
      <c r="AT6" s="1074">
        <v>1</v>
      </c>
      <c r="AU6" s="1080">
        <v>2</v>
      </c>
      <c r="AV6" s="1077">
        <v>4</v>
      </c>
      <c r="AW6" s="1074">
        <v>1</v>
      </c>
      <c r="AX6" s="1078">
        <v>2</v>
      </c>
      <c r="AY6" s="1079">
        <v>4</v>
      </c>
      <c r="AZ6" s="1074">
        <v>1</v>
      </c>
      <c r="BA6" s="1080">
        <v>2</v>
      </c>
      <c r="BB6" s="1077">
        <v>4</v>
      </c>
      <c r="BC6" s="1074">
        <v>1</v>
      </c>
      <c r="BD6" s="1078">
        <v>2</v>
      </c>
      <c r="BE6" s="1079">
        <v>4</v>
      </c>
      <c r="BF6" s="1074">
        <v>1</v>
      </c>
      <c r="BG6" s="1080">
        <v>2</v>
      </c>
      <c r="BH6" s="1077">
        <v>4</v>
      </c>
      <c r="BI6" s="1074">
        <v>1</v>
      </c>
      <c r="BJ6" s="1078">
        <v>2</v>
      </c>
      <c r="BK6" s="1079">
        <v>4</v>
      </c>
      <c r="BL6" s="1074">
        <v>1</v>
      </c>
      <c r="BM6" s="1080">
        <v>2</v>
      </c>
      <c r="BN6" s="1076"/>
      <c r="BO6" s="1074"/>
      <c r="BP6" s="1076"/>
      <c r="BQ6" s="1081">
        <f t="shared" si="0"/>
        <v>141.5</v>
      </c>
    </row>
    <row r="7" spans="1:69" s="4" customFormat="1" ht="20.100000000000001" customHeight="1" thickTop="1" thickBot="1">
      <c r="A7" s="1117">
        <v>4</v>
      </c>
      <c r="B7" s="1092" t="str">
        <f ca="1">IF(A7="","",OFFSET(BaseDeDonnéesSalariés!B$2,RelevéHeuresChantiersParMois!A7-1,0))</f>
        <v>CHASSANDE Michel</v>
      </c>
      <c r="C7" s="1093">
        <v>3.5</v>
      </c>
      <c r="D7" s="1094">
        <v>1</v>
      </c>
      <c r="E7" s="1095">
        <v>2</v>
      </c>
      <c r="F7" s="1096">
        <v>4</v>
      </c>
      <c r="G7" s="1094"/>
      <c r="H7" s="1096"/>
      <c r="I7" s="1093">
        <v>4</v>
      </c>
      <c r="J7" s="1094">
        <v>1</v>
      </c>
      <c r="K7" s="1095">
        <v>2</v>
      </c>
      <c r="L7" s="1097">
        <v>4</v>
      </c>
      <c r="M7" s="1094">
        <v>1</v>
      </c>
      <c r="N7" s="1098"/>
      <c r="O7" s="1099">
        <v>4</v>
      </c>
      <c r="P7" s="1094">
        <v>1</v>
      </c>
      <c r="Q7" s="1100">
        <v>2</v>
      </c>
      <c r="R7" s="1097">
        <v>4</v>
      </c>
      <c r="S7" s="1094">
        <v>1</v>
      </c>
      <c r="T7" s="1098">
        <v>2</v>
      </c>
      <c r="U7" s="1099">
        <v>4</v>
      </c>
      <c r="V7" s="1094">
        <v>1</v>
      </c>
      <c r="W7" s="1100">
        <v>2</v>
      </c>
      <c r="X7" s="1097">
        <v>4</v>
      </c>
      <c r="Y7" s="1094">
        <v>1</v>
      </c>
      <c r="Z7" s="1098">
        <v>2</v>
      </c>
      <c r="AA7" s="1099">
        <v>4</v>
      </c>
      <c r="AB7" s="1094">
        <v>1</v>
      </c>
      <c r="AC7" s="1100">
        <v>2</v>
      </c>
      <c r="AD7" s="1099">
        <v>4</v>
      </c>
      <c r="AE7" s="1094">
        <v>1</v>
      </c>
      <c r="AF7" s="1100">
        <v>2</v>
      </c>
      <c r="AG7" s="1099">
        <v>4</v>
      </c>
      <c r="AH7" s="1094">
        <v>1</v>
      </c>
      <c r="AI7" s="1100">
        <v>2</v>
      </c>
      <c r="AJ7" s="1097">
        <v>4</v>
      </c>
      <c r="AK7" s="1094">
        <v>1</v>
      </c>
      <c r="AL7" s="1098">
        <v>2</v>
      </c>
      <c r="AM7" s="1099">
        <v>4</v>
      </c>
      <c r="AN7" s="1094">
        <v>1</v>
      </c>
      <c r="AO7" s="1100">
        <v>2</v>
      </c>
      <c r="AP7" s="1097">
        <v>4</v>
      </c>
      <c r="AQ7" s="1094">
        <v>1</v>
      </c>
      <c r="AR7" s="1098">
        <v>2</v>
      </c>
      <c r="AS7" s="1099">
        <v>4</v>
      </c>
      <c r="AT7" s="1094">
        <v>1</v>
      </c>
      <c r="AU7" s="1100">
        <v>2</v>
      </c>
      <c r="AV7" s="1097">
        <v>4</v>
      </c>
      <c r="AW7" s="1094">
        <v>1</v>
      </c>
      <c r="AX7" s="1098">
        <v>2</v>
      </c>
      <c r="AY7" s="1099">
        <v>4</v>
      </c>
      <c r="AZ7" s="1094">
        <v>1</v>
      </c>
      <c r="BA7" s="1100">
        <v>2</v>
      </c>
      <c r="BB7" s="1097">
        <v>4</v>
      </c>
      <c r="BC7" s="1094">
        <v>1</v>
      </c>
      <c r="BD7" s="1098">
        <v>2</v>
      </c>
      <c r="BE7" s="1099">
        <v>4</v>
      </c>
      <c r="BF7" s="1094">
        <v>1</v>
      </c>
      <c r="BG7" s="1100">
        <v>2</v>
      </c>
      <c r="BH7" s="1097">
        <v>4</v>
      </c>
      <c r="BI7" s="1094">
        <v>1</v>
      </c>
      <c r="BJ7" s="1098">
        <v>2</v>
      </c>
      <c r="BK7" s="1099">
        <v>4</v>
      </c>
      <c r="BL7" s="1094">
        <v>1</v>
      </c>
      <c r="BM7" s="1100">
        <v>2</v>
      </c>
      <c r="BN7" s="1096"/>
      <c r="BO7" s="1094"/>
      <c r="BP7" s="1096"/>
      <c r="BQ7" s="1101">
        <f t="shared" si="0"/>
        <v>141.5</v>
      </c>
    </row>
    <row r="8" spans="1:69" ht="20.100000000000001" customHeight="1" thickTop="1" thickBot="1">
      <c r="A8" s="1118">
        <v>5</v>
      </c>
      <c r="B8" s="1072" t="str">
        <f ca="1">IF(A8="","",OFFSET(BaseDeDonnéesSalariés!B$2,RelevéHeuresChantiersParMois!A8-1,0))</f>
        <v>DEVERCHERE Anne</v>
      </c>
      <c r="C8" s="1073">
        <v>3.5</v>
      </c>
      <c r="D8" s="1074">
        <v>1</v>
      </c>
      <c r="E8" s="1075">
        <v>2</v>
      </c>
      <c r="F8" s="1076">
        <v>4</v>
      </c>
      <c r="G8" s="1074"/>
      <c r="H8" s="1076"/>
      <c r="I8" s="1073">
        <v>4</v>
      </c>
      <c r="J8" s="1074">
        <v>1</v>
      </c>
      <c r="K8" s="1075">
        <v>2</v>
      </c>
      <c r="L8" s="1077">
        <v>4</v>
      </c>
      <c r="M8" s="1074">
        <v>1</v>
      </c>
      <c r="N8" s="1078"/>
      <c r="O8" s="1079">
        <v>4</v>
      </c>
      <c r="P8" s="1074">
        <v>1</v>
      </c>
      <c r="Q8" s="1080">
        <v>2</v>
      </c>
      <c r="R8" s="1077">
        <v>4</v>
      </c>
      <c r="S8" s="1074">
        <v>1</v>
      </c>
      <c r="T8" s="1078">
        <v>2</v>
      </c>
      <c r="U8" s="1079">
        <v>4</v>
      </c>
      <c r="V8" s="1074">
        <v>1</v>
      </c>
      <c r="W8" s="1080">
        <v>2</v>
      </c>
      <c r="X8" s="1077">
        <v>4</v>
      </c>
      <c r="Y8" s="1074">
        <v>1</v>
      </c>
      <c r="Z8" s="1078">
        <v>2</v>
      </c>
      <c r="AA8" s="1079">
        <v>4</v>
      </c>
      <c r="AB8" s="1074">
        <v>1</v>
      </c>
      <c r="AC8" s="1080">
        <v>2</v>
      </c>
      <c r="AD8" s="1079">
        <v>4</v>
      </c>
      <c r="AE8" s="1074">
        <v>1</v>
      </c>
      <c r="AF8" s="1080">
        <v>2</v>
      </c>
      <c r="AG8" s="1079">
        <v>4</v>
      </c>
      <c r="AH8" s="1074">
        <v>1</v>
      </c>
      <c r="AI8" s="1080">
        <v>2</v>
      </c>
      <c r="AJ8" s="1077">
        <v>4</v>
      </c>
      <c r="AK8" s="1074">
        <v>1</v>
      </c>
      <c r="AL8" s="1078">
        <v>2</v>
      </c>
      <c r="AM8" s="1079">
        <v>4</v>
      </c>
      <c r="AN8" s="1074">
        <v>1</v>
      </c>
      <c r="AO8" s="1080">
        <v>2</v>
      </c>
      <c r="AP8" s="1077">
        <v>4</v>
      </c>
      <c r="AQ8" s="1074">
        <v>1</v>
      </c>
      <c r="AR8" s="1078">
        <v>2</v>
      </c>
      <c r="AS8" s="1079">
        <v>4</v>
      </c>
      <c r="AT8" s="1074">
        <v>1</v>
      </c>
      <c r="AU8" s="1080">
        <v>2</v>
      </c>
      <c r="AV8" s="1077">
        <v>4</v>
      </c>
      <c r="AW8" s="1074">
        <v>1</v>
      </c>
      <c r="AX8" s="1078">
        <v>2</v>
      </c>
      <c r="AY8" s="1079">
        <v>4</v>
      </c>
      <c r="AZ8" s="1074">
        <v>1</v>
      </c>
      <c r="BA8" s="1080">
        <v>2</v>
      </c>
      <c r="BB8" s="1077">
        <v>4</v>
      </c>
      <c r="BC8" s="1074">
        <v>1</v>
      </c>
      <c r="BD8" s="1078">
        <v>2</v>
      </c>
      <c r="BE8" s="1079">
        <v>4</v>
      </c>
      <c r="BF8" s="1074">
        <v>1</v>
      </c>
      <c r="BG8" s="1080">
        <v>2</v>
      </c>
      <c r="BH8" s="1077">
        <v>4</v>
      </c>
      <c r="BI8" s="1074">
        <v>1</v>
      </c>
      <c r="BJ8" s="1078">
        <v>2</v>
      </c>
      <c r="BK8" s="1079">
        <v>4</v>
      </c>
      <c r="BL8" s="1074">
        <v>1</v>
      </c>
      <c r="BM8" s="1080">
        <v>2</v>
      </c>
      <c r="BN8" s="1076"/>
      <c r="BO8" s="1074"/>
      <c r="BP8" s="1076"/>
      <c r="BQ8" s="1081">
        <f t="shared" si="0"/>
        <v>141.5</v>
      </c>
    </row>
    <row r="9" spans="1:69" s="4" customFormat="1" ht="20.100000000000001" customHeight="1" thickTop="1" thickBot="1">
      <c r="A9" s="1117">
        <v>6</v>
      </c>
      <c r="B9" s="1092" t="str">
        <f ca="1">IF(A9="","",OFFSET(BaseDeDonnéesSalariés!B$2,RelevéHeuresChantiersParMois!A9-1,0))</f>
        <v>DUPOND Geneviève</v>
      </c>
      <c r="C9" s="1093">
        <v>3.5</v>
      </c>
      <c r="D9" s="1094">
        <v>1</v>
      </c>
      <c r="E9" s="1095">
        <v>2</v>
      </c>
      <c r="F9" s="1096">
        <v>4</v>
      </c>
      <c r="G9" s="1094"/>
      <c r="H9" s="1096"/>
      <c r="I9" s="1093">
        <v>4</v>
      </c>
      <c r="J9" s="1094">
        <v>1</v>
      </c>
      <c r="K9" s="1095">
        <v>2</v>
      </c>
      <c r="L9" s="1097">
        <v>4</v>
      </c>
      <c r="M9" s="1094">
        <v>1</v>
      </c>
      <c r="N9" s="1098"/>
      <c r="O9" s="1099">
        <v>4</v>
      </c>
      <c r="P9" s="1094">
        <v>1</v>
      </c>
      <c r="Q9" s="1100">
        <v>2</v>
      </c>
      <c r="R9" s="1097">
        <v>4</v>
      </c>
      <c r="S9" s="1094">
        <v>1</v>
      </c>
      <c r="T9" s="1098">
        <v>2</v>
      </c>
      <c r="U9" s="1099">
        <v>4</v>
      </c>
      <c r="V9" s="1094">
        <v>1</v>
      </c>
      <c r="W9" s="1100">
        <v>2</v>
      </c>
      <c r="X9" s="1097">
        <v>4</v>
      </c>
      <c r="Y9" s="1094">
        <v>1</v>
      </c>
      <c r="Z9" s="1098">
        <v>2</v>
      </c>
      <c r="AA9" s="1099">
        <v>4</v>
      </c>
      <c r="AB9" s="1094">
        <v>1</v>
      </c>
      <c r="AC9" s="1100">
        <v>2</v>
      </c>
      <c r="AD9" s="1099">
        <v>4</v>
      </c>
      <c r="AE9" s="1094">
        <v>1</v>
      </c>
      <c r="AF9" s="1100">
        <v>2</v>
      </c>
      <c r="AG9" s="1099">
        <v>4</v>
      </c>
      <c r="AH9" s="1094">
        <v>1</v>
      </c>
      <c r="AI9" s="1100">
        <v>2</v>
      </c>
      <c r="AJ9" s="1097">
        <v>4</v>
      </c>
      <c r="AK9" s="1094">
        <v>1</v>
      </c>
      <c r="AL9" s="1098">
        <v>2</v>
      </c>
      <c r="AM9" s="1099">
        <v>4</v>
      </c>
      <c r="AN9" s="1094">
        <v>1</v>
      </c>
      <c r="AO9" s="1100">
        <v>2</v>
      </c>
      <c r="AP9" s="1097">
        <v>4</v>
      </c>
      <c r="AQ9" s="1094">
        <v>1</v>
      </c>
      <c r="AR9" s="1098">
        <v>2</v>
      </c>
      <c r="AS9" s="1099">
        <v>4</v>
      </c>
      <c r="AT9" s="1094">
        <v>1</v>
      </c>
      <c r="AU9" s="1100">
        <v>2</v>
      </c>
      <c r="AV9" s="1097">
        <v>4</v>
      </c>
      <c r="AW9" s="1094">
        <v>1</v>
      </c>
      <c r="AX9" s="1098">
        <v>2</v>
      </c>
      <c r="AY9" s="1099">
        <v>4</v>
      </c>
      <c r="AZ9" s="1094">
        <v>1</v>
      </c>
      <c r="BA9" s="1100">
        <v>2</v>
      </c>
      <c r="BB9" s="1097">
        <v>4</v>
      </c>
      <c r="BC9" s="1094">
        <v>1</v>
      </c>
      <c r="BD9" s="1098">
        <v>2</v>
      </c>
      <c r="BE9" s="1099">
        <v>4</v>
      </c>
      <c r="BF9" s="1094">
        <v>1</v>
      </c>
      <c r="BG9" s="1100">
        <v>2</v>
      </c>
      <c r="BH9" s="1097">
        <v>4</v>
      </c>
      <c r="BI9" s="1094">
        <v>1</v>
      </c>
      <c r="BJ9" s="1098">
        <v>2</v>
      </c>
      <c r="BK9" s="1099">
        <v>4</v>
      </c>
      <c r="BL9" s="1094">
        <v>1</v>
      </c>
      <c r="BM9" s="1100">
        <v>2</v>
      </c>
      <c r="BN9" s="1096"/>
      <c r="BO9" s="1094"/>
      <c r="BP9" s="1096"/>
      <c r="BQ9" s="1101">
        <f t="shared" si="0"/>
        <v>141.5</v>
      </c>
    </row>
    <row r="10" spans="1:69" ht="20.100000000000001" customHeight="1" thickTop="1" thickBot="1">
      <c r="A10" s="1118">
        <v>7</v>
      </c>
      <c r="B10" s="1072" t="str">
        <f ca="1">IF(A10="","",OFFSET(BaseDeDonnéesSalariés!B$2,RelevéHeuresChantiersParMois!A10-1,0))</f>
        <v>ESCULIER Claire</v>
      </c>
      <c r="C10" s="1073">
        <v>3.5</v>
      </c>
      <c r="D10" s="1074">
        <v>1</v>
      </c>
      <c r="E10" s="1075">
        <v>2</v>
      </c>
      <c r="F10" s="1076">
        <v>4</v>
      </c>
      <c r="G10" s="1074"/>
      <c r="H10" s="1076"/>
      <c r="I10" s="1073">
        <v>4</v>
      </c>
      <c r="J10" s="1074">
        <v>1</v>
      </c>
      <c r="K10" s="1075">
        <v>2</v>
      </c>
      <c r="L10" s="1077">
        <v>4</v>
      </c>
      <c r="M10" s="1074">
        <v>1</v>
      </c>
      <c r="N10" s="1078"/>
      <c r="O10" s="1079">
        <v>4</v>
      </c>
      <c r="P10" s="1074">
        <v>1</v>
      </c>
      <c r="Q10" s="1080">
        <v>2</v>
      </c>
      <c r="R10" s="1077">
        <v>4</v>
      </c>
      <c r="S10" s="1074">
        <v>1</v>
      </c>
      <c r="T10" s="1078">
        <v>2</v>
      </c>
      <c r="U10" s="1079">
        <v>4</v>
      </c>
      <c r="V10" s="1074">
        <v>1</v>
      </c>
      <c r="W10" s="1080">
        <v>2</v>
      </c>
      <c r="X10" s="1077">
        <v>4</v>
      </c>
      <c r="Y10" s="1074">
        <v>1</v>
      </c>
      <c r="Z10" s="1078">
        <v>2</v>
      </c>
      <c r="AA10" s="1079">
        <v>4</v>
      </c>
      <c r="AB10" s="1074">
        <v>1</v>
      </c>
      <c r="AC10" s="1080">
        <v>2</v>
      </c>
      <c r="AD10" s="1079">
        <v>4</v>
      </c>
      <c r="AE10" s="1074">
        <v>1</v>
      </c>
      <c r="AF10" s="1080">
        <v>2</v>
      </c>
      <c r="AG10" s="1079">
        <v>4</v>
      </c>
      <c r="AH10" s="1074">
        <v>1</v>
      </c>
      <c r="AI10" s="1080">
        <v>2</v>
      </c>
      <c r="AJ10" s="1077">
        <v>4</v>
      </c>
      <c r="AK10" s="1074">
        <v>1</v>
      </c>
      <c r="AL10" s="1078">
        <v>2</v>
      </c>
      <c r="AM10" s="1079">
        <v>4</v>
      </c>
      <c r="AN10" s="1074">
        <v>1</v>
      </c>
      <c r="AO10" s="1080">
        <v>2</v>
      </c>
      <c r="AP10" s="1077">
        <v>4</v>
      </c>
      <c r="AQ10" s="1074">
        <v>1</v>
      </c>
      <c r="AR10" s="1078">
        <v>2</v>
      </c>
      <c r="AS10" s="1079">
        <v>4</v>
      </c>
      <c r="AT10" s="1074">
        <v>1</v>
      </c>
      <c r="AU10" s="1080">
        <v>2</v>
      </c>
      <c r="AV10" s="1077">
        <v>4</v>
      </c>
      <c r="AW10" s="1074">
        <v>1</v>
      </c>
      <c r="AX10" s="1078">
        <v>2</v>
      </c>
      <c r="AY10" s="1079">
        <v>4</v>
      </c>
      <c r="AZ10" s="1074">
        <v>1</v>
      </c>
      <c r="BA10" s="1080">
        <v>2</v>
      </c>
      <c r="BB10" s="1077">
        <v>4</v>
      </c>
      <c r="BC10" s="1074">
        <v>1</v>
      </c>
      <c r="BD10" s="1078">
        <v>2</v>
      </c>
      <c r="BE10" s="1079">
        <v>4</v>
      </c>
      <c r="BF10" s="1074">
        <v>1</v>
      </c>
      <c r="BG10" s="1080">
        <v>2</v>
      </c>
      <c r="BH10" s="1077">
        <v>4</v>
      </c>
      <c r="BI10" s="1074">
        <v>1</v>
      </c>
      <c r="BJ10" s="1078">
        <v>2</v>
      </c>
      <c r="BK10" s="1079">
        <v>4</v>
      </c>
      <c r="BL10" s="1074">
        <v>1</v>
      </c>
      <c r="BM10" s="1080">
        <v>2</v>
      </c>
      <c r="BN10" s="1076"/>
      <c r="BO10" s="1074"/>
      <c r="BP10" s="1076"/>
      <c r="BQ10" s="1081">
        <f t="shared" si="0"/>
        <v>141.5</v>
      </c>
    </row>
    <row r="11" spans="1:69" s="4" customFormat="1" ht="20.100000000000001" customHeight="1" thickTop="1" thickBot="1">
      <c r="A11" s="1117">
        <v>8</v>
      </c>
      <c r="B11" s="1092" t="str">
        <f ca="1">IF(A11="","",OFFSET(BaseDeDonnéesSalariés!B$2,RelevéHeuresChantiersParMois!A11-1,0))</f>
        <v>FREYTAG Marie-Paule</v>
      </c>
      <c r="C11" s="1093">
        <v>3.5</v>
      </c>
      <c r="D11" s="1094">
        <v>1</v>
      </c>
      <c r="E11" s="1095">
        <v>2</v>
      </c>
      <c r="F11" s="1096">
        <v>4</v>
      </c>
      <c r="G11" s="1094"/>
      <c r="H11" s="1096"/>
      <c r="I11" s="1093">
        <v>4</v>
      </c>
      <c r="J11" s="1094">
        <v>1</v>
      </c>
      <c r="K11" s="1095">
        <v>2</v>
      </c>
      <c r="L11" s="1097">
        <v>4</v>
      </c>
      <c r="M11" s="1094">
        <v>1</v>
      </c>
      <c r="N11" s="1098"/>
      <c r="O11" s="1099">
        <v>4</v>
      </c>
      <c r="P11" s="1094">
        <v>1</v>
      </c>
      <c r="Q11" s="1100">
        <v>2</v>
      </c>
      <c r="R11" s="1097">
        <v>4</v>
      </c>
      <c r="S11" s="1094">
        <v>1</v>
      </c>
      <c r="T11" s="1098">
        <v>2</v>
      </c>
      <c r="U11" s="1099">
        <v>4</v>
      </c>
      <c r="V11" s="1094">
        <v>1</v>
      </c>
      <c r="W11" s="1100">
        <v>2</v>
      </c>
      <c r="X11" s="1097">
        <v>4</v>
      </c>
      <c r="Y11" s="1094">
        <v>1</v>
      </c>
      <c r="Z11" s="1098">
        <v>2</v>
      </c>
      <c r="AA11" s="1099">
        <v>4</v>
      </c>
      <c r="AB11" s="1094">
        <v>1</v>
      </c>
      <c r="AC11" s="1100">
        <v>2</v>
      </c>
      <c r="AD11" s="1099">
        <v>4</v>
      </c>
      <c r="AE11" s="1094">
        <v>1</v>
      </c>
      <c r="AF11" s="1100">
        <v>2</v>
      </c>
      <c r="AG11" s="1099">
        <v>4</v>
      </c>
      <c r="AH11" s="1094">
        <v>1</v>
      </c>
      <c r="AI11" s="1100">
        <v>2</v>
      </c>
      <c r="AJ11" s="1097">
        <v>4</v>
      </c>
      <c r="AK11" s="1094">
        <v>1</v>
      </c>
      <c r="AL11" s="1098">
        <v>2</v>
      </c>
      <c r="AM11" s="1099">
        <v>4</v>
      </c>
      <c r="AN11" s="1094">
        <v>1</v>
      </c>
      <c r="AO11" s="1100">
        <v>2</v>
      </c>
      <c r="AP11" s="1097">
        <v>4</v>
      </c>
      <c r="AQ11" s="1094">
        <v>1</v>
      </c>
      <c r="AR11" s="1098">
        <v>2</v>
      </c>
      <c r="AS11" s="1099">
        <v>4</v>
      </c>
      <c r="AT11" s="1094">
        <v>1</v>
      </c>
      <c r="AU11" s="1100">
        <v>2</v>
      </c>
      <c r="AV11" s="1097">
        <v>4</v>
      </c>
      <c r="AW11" s="1094">
        <v>1</v>
      </c>
      <c r="AX11" s="1098">
        <v>2</v>
      </c>
      <c r="AY11" s="1099">
        <v>4</v>
      </c>
      <c r="AZ11" s="1094">
        <v>1</v>
      </c>
      <c r="BA11" s="1100">
        <v>2</v>
      </c>
      <c r="BB11" s="1097">
        <v>4</v>
      </c>
      <c r="BC11" s="1094">
        <v>1</v>
      </c>
      <c r="BD11" s="1098">
        <v>2</v>
      </c>
      <c r="BE11" s="1099">
        <v>4</v>
      </c>
      <c r="BF11" s="1094">
        <v>1</v>
      </c>
      <c r="BG11" s="1100">
        <v>2</v>
      </c>
      <c r="BH11" s="1097">
        <v>4</v>
      </c>
      <c r="BI11" s="1094">
        <v>1</v>
      </c>
      <c r="BJ11" s="1098">
        <v>2</v>
      </c>
      <c r="BK11" s="1099">
        <v>4</v>
      </c>
      <c r="BL11" s="1094">
        <v>1</v>
      </c>
      <c r="BM11" s="1100">
        <v>2</v>
      </c>
      <c r="BN11" s="1096"/>
      <c r="BO11" s="1094"/>
      <c r="BP11" s="1096"/>
      <c r="BQ11" s="1101">
        <f t="shared" si="0"/>
        <v>141.5</v>
      </c>
    </row>
    <row r="12" spans="1:69" ht="20.100000000000001" customHeight="1" thickTop="1" thickBot="1">
      <c r="A12" s="1118">
        <v>9</v>
      </c>
      <c r="B12" s="1072" t="str">
        <f ca="1">IF(A12="","",OFFSET(BaseDeDonnéesSalariés!B$2,RelevéHeuresChantiersParMois!A12-1,0))</f>
        <v>GOFFIC Gilles</v>
      </c>
      <c r="C12" s="1073">
        <v>3.5</v>
      </c>
      <c r="D12" s="1074">
        <v>1</v>
      </c>
      <c r="E12" s="1075">
        <v>2</v>
      </c>
      <c r="F12" s="1076">
        <v>4</v>
      </c>
      <c r="G12" s="1074"/>
      <c r="H12" s="1076"/>
      <c r="I12" s="1073">
        <v>4</v>
      </c>
      <c r="J12" s="1074">
        <v>1</v>
      </c>
      <c r="K12" s="1075">
        <v>2</v>
      </c>
      <c r="L12" s="1077">
        <v>4</v>
      </c>
      <c r="M12" s="1074">
        <v>1</v>
      </c>
      <c r="N12" s="1078"/>
      <c r="O12" s="1079">
        <v>4</v>
      </c>
      <c r="P12" s="1074">
        <v>1</v>
      </c>
      <c r="Q12" s="1080">
        <v>2</v>
      </c>
      <c r="R12" s="1077">
        <v>4</v>
      </c>
      <c r="S12" s="1074">
        <v>1</v>
      </c>
      <c r="T12" s="1078">
        <v>2</v>
      </c>
      <c r="U12" s="1079">
        <v>4</v>
      </c>
      <c r="V12" s="1074">
        <v>1</v>
      </c>
      <c r="W12" s="1080">
        <v>2</v>
      </c>
      <c r="X12" s="1077">
        <v>4</v>
      </c>
      <c r="Y12" s="1074">
        <v>1</v>
      </c>
      <c r="Z12" s="1078">
        <v>2</v>
      </c>
      <c r="AA12" s="1079">
        <v>4</v>
      </c>
      <c r="AB12" s="1074">
        <v>1</v>
      </c>
      <c r="AC12" s="1080">
        <v>2</v>
      </c>
      <c r="AD12" s="1079">
        <v>4</v>
      </c>
      <c r="AE12" s="1074">
        <v>1</v>
      </c>
      <c r="AF12" s="1080">
        <v>2</v>
      </c>
      <c r="AG12" s="1079">
        <v>4</v>
      </c>
      <c r="AH12" s="1074">
        <v>1</v>
      </c>
      <c r="AI12" s="1080">
        <v>2</v>
      </c>
      <c r="AJ12" s="1077">
        <v>4</v>
      </c>
      <c r="AK12" s="1074">
        <v>1</v>
      </c>
      <c r="AL12" s="1078">
        <v>2</v>
      </c>
      <c r="AM12" s="1079">
        <v>4</v>
      </c>
      <c r="AN12" s="1074">
        <v>1</v>
      </c>
      <c r="AO12" s="1080">
        <v>2</v>
      </c>
      <c r="AP12" s="1077">
        <v>4</v>
      </c>
      <c r="AQ12" s="1074">
        <v>1</v>
      </c>
      <c r="AR12" s="1078">
        <v>2</v>
      </c>
      <c r="AS12" s="1079">
        <v>4</v>
      </c>
      <c r="AT12" s="1074">
        <v>1</v>
      </c>
      <c r="AU12" s="1080">
        <v>2</v>
      </c>
      <c r="AV12" s="1077">
        <v>4</v>
      </c>
      <c r="AW12" s="1074">
        <v>1</v>
      </c>
      <c r="AX12" s="1078">
        <v>2</v>
      </c>
      <c r="AY12" s="1079">
        <v>4</v>
      </c>
      <c r="AZ12" s="1074">
        <v>1</v>
      </c>
      <c r="BA12" s="1080">
        <v>2</v>
      </c>
      <c r="BB12" s="1077">
        <v>4</v>
      </c>
      <c r="BC12" s="1074">
        <v>1</v>
      </c>
      <c r="BD12" s="1078">
        <v>2</v>
      </c>
      <c r="BE12" s="1079">
        <v>4</v>
      </c>
      <c r="BF12" s="1074">
        <v>1</v>
      </c>
      <c r="BG12" s="1080">
        <v>2</v>
      </c>
      <c r="BH12" s="1077">
        <v>4</v>
      </c>
      <c r="BI12" s="1074">
        <v>1</v>
      </c>
      <c r="BJ12" s="1078">
        <v>2</v>
      </c>
      <c r="BK12" s="1079">
        <v>4</v>
      </c>
      <c r="BL12" s="1074">
        <v>1</v>
      </c>
      <c r="BM12" s="1080">
        <v>2</v>
      </c>
      <c r="BN12" s="1076"/>
      <c r="BO12" s="1074"/>
      <c r="BP12" s="1076"/>
      <c r="BQ12" s="1081">
        <f t="shared" si="0"/>
        <v>141.5</v>
      </c>
    </row>
    <row r="13" spans="1:69" s="4" customFormat="1" ht="20.100000000000001" customHeight="1" thickTop="1" thickBot="1">
      <c r="A13" s="1117">
        <v>10</v>
      </c>
      <c r="B13" s="1092" t="str">
        <f ca="1">IF(A13="","",OFFSET(BaseDeDonnéesSalariés!B$2,RelevéHeuresChantiersParMois!A13-1,0))</f>
        <v>JAUFFRET Philippe</v>
      </c>
      <c r="C13" s="1093">
        <v>3.5</v>
      </c>
      <c r="D13" s="1094">
        <v>1</v>
      </c>
      <c r="E13" s="1095">
        <v>2</v>
      </c>
      <c r="F13" s="1096">
        <v>4</v>
      </c>
      <c r="G13" s="1094"/>
      <c r="H13" s="1096"/>
      <c r="I13" s="1093">
        <v>4</v>
      </c>
      <c r="J13" s="1094">
        <v>1</v>
      </c>
      <c r="K13" s="1095">
        <v>2</v>
      </c>
      <c r="L13" s="1097">
        <v>4</v>
      </c>
      <c r="M13" s="1094">
        <v>1</v>
      </c>
      <c r="N13" s="1098"/>
      <c r="O13" s="1099">
        <v>4</v>
      </c>
      <c r="P13" s="1094">
        <v>1</v>
      </c>
      <c r="Q13" s="1100">
        <v>2</v>
      </c>
      <c r="R13" s="1097">
        <v>4</v>
      </c>
      <c r="S13" s="1094">
        <v>1</v>
      </c>
      <c r="T13" s="1098">
        <v>2</v>
      </c>
      <c r="U13" s="1099">
        <v>4</v>
      </c>
      <c r="V13" s="1094">
        <v>1</v>
      </c>
      <c r="W13" s="1100">
        <v>2</v>
      </c>
      <c r="X13" s="1097">
        <v>4</v>
      </c>
      <c r="Y13" s="1094">
        <v>1</v>
      </c>
      <c r="Z13" s="1098">
        <v>2</v>
      </c>
      <c r="AA13" s="1099">
        <v>4</v>
      </c>
      <c r="AB13" s="1094">
        <v>1</v>
      </c>
      <c r="AC13" s="1100">
        <v>2</v>
      </c>
      <c r="AD13" s="1099">
        <v>4</v>
      </c>
      <c r="AE13" s="1094">
        <v>1</v>
      </c>
      <c r="AF13" s="1100">
        <v>2</v>
      </c>
      <c r="AG13" s="1099">
        <v>4</v>
      </c>
      <c r="AH13" s="1094">
        <v>1</v>
      </c>
      <c r="AI13" s="1100">
        <v>2</v>
      </c>
      <c r="AJ13" s="1097">
        <v>4</v>
      </c>
      <c r="AK13" s="1094">
        <v>1</v>
      </c>
      <c r="AL13" s="1098">
        <v>2</v>
      </c>
      <c r="AM13" s="1099">
        <v>4</v>
      </c>
      <c r="AN13" s="1094">
        <v>1</v>
      </c>
      <c r="AO13" s="1100">
        <v>2</v>
      </c>
      <c r="AP13" s="1097">
        <v>4</v>
      </c>
      <c r="AQ13" s="1094">
        <v>1</v>
      </c>
      <c r="AR13" s="1098">
        <v>2</v>
      </c>
      <c r="AS13" s="1099">
        <v>4</v>
      </c>
      <c r="AT13" s="1094">
        <v>1</v>
      </c>
      <c r="AU13" s="1100">
        <v>2</v>
      </c>
      <c r="AV13" s="1097">
        <v>4</v>
      </c>
      <c r="AW13" s="1094">
        <v>1</v>
      </c>
      <c r="AX13" s="1098">
        <v>2</v>
      </c>
      <c r="AY13" s="1099">
        <v>4</v>
      </c>
      <c r="AZ13" s="1094">
        <v>1</v>
      </c>
      <c r="BA13" s="1100">
        <v>2</v>
      </c>
      <c r="BB13" s="1097">
        <v>4</v>
      </c>
      <c r="BC13" s="1094">
        <v>1</v>
      </c>
      <c r="BD13" s="1098">
        <v>2</v>
      </c>
      <c r="BE13" s="1099">
        <v>4</v>
      </c>
      <c r="BF13" s="1094">
        <v>1</v>
      </c>
      <c r="BG13" s="1100">
        <v>2</v>
      </c>
      <c r="BH13" s="1097">
        <v>4</v>
      </c>
      <c r="BI13" s="1094">
        <v>1</v>
      </c>
      <c r="BJ13" s="1098">
        <v>2</v>
      </c>
      <c r="BK13" s="1099">
        <v>4</v>
      </c>
      <c r="BL13" s="1094">
        <v>1</v>
      </c>
      <c r="BM13" s="1100">
        <v>2</v>
      </c>
      <c r="BN13" s="1096"/>
      <c r="BO13" s="1094"/>
      <c r="BP13" s="1096"/>
      <c r="BQ13" s="1101">
        <f t="shared" si="0"/>
        <v>141.5</v>
      </c>
    </row>
    <row r="14" spans="1:69" ht="20.100000000000001" customHeight="1" thickTop="1" thickBot="1">
      <c r="A14" s="1118">
        <v>11</v>
      </c>
      <c r="B14" s="1072" t="str">
        <f ca="1">IF(A14="","",OFFSET(BaseDeDonnéesSalariés!B$2,RelevéHeuresChantiersParMois!A14-1,0))</f>
        <v>LIMARE Serge</v>
      </c>
      <c r="C14" s="1073">
        <v>3.5</v>
      </c>
      <c r="D14" s="1074">
        <v>1</v>
      </c>
      <c r="E14" s="1075">
        <v>2</v>
      </c>
      <c r="F14" s="1076">
        <v>4</v>
      </c>
      <c r="G14" s="1074"/>
      <c r="H14" s="1076"/>
      <c r="I14" s="1073">
        <v>4</v>
      </c>
      <c r="J14" s="1074">
        <v>1</v>
      </c>
      <c r="K14" s="1075">
        <v>2</v>
      </c>
      <c r="L14" s="1077">
        <v>4</v>
      </c>
      <c r="M14" s="1074">
        <v>1</v>
      </c>
      <c r="N14" s="1078"/>
      <c r="O14" s="1079">
        <v>4</v>
      </c>
      <c r="P14" s="1074">
        <v>1</v>
      </c>
      <c r="Q14" s="1080">
        <v>2</v>
      </c>
      <c r="R14" s="1077">
        <v>4</v>
      </c>
      <c r="S14" s="1074">
        <v>1</v>
      </c>
      <c r="T14" s="1078">
        <v>2</v>
      </c>
      <c r="U14" s="1079">
        <v>4</v>
      </c>
      <c r="V14" s="1074">
        <v>1</v>
      </c>
      <c r="W14" s="1080">
        <v>2</v>
      </c>
      <c r="X14" s="1077">
        <v>4</v>
      </c>
      <c r="Y14" s="1074">
        <v>1</v>
      </c>
      <c r="Z14" s="1078">
        <v>2</v>
      </c>
      <c r="AA14" s="1079">
        <v>4</v>
      </c>
      <c r="AB14" s="1074">
        <v>1</v>
      </c>
      <c r="AC14" s="1080">
        <v>2</v>
      </c>
      <c r="AD14" s="1079">
        <v>4</v>
      </c>
      <c r="AE14" s="1074">
        <v>1</v>
      </c>
      <c r="AF14" s="1080">
        <v>2</v>
      </c>
      <c r="AG14" s="1079">
        <v>4</v>
      </c>
      <c r="AH14" s="1074">
        <v>1</v>
      </c>
      <c r="AI14" s="1080">
        <v>2</v>
      </c>
      <c r="AJ14" s="1077">
        <v>4</v>
      </c>
      <c r="AK14" s="1074">
        <v>1</v>
      </c>
      <c r="AL14" s="1078">
        <v>2</v>
      </c>
      <c r="AM14" s="1079">
        <v>4</v>
      </c>
      <c r="AN14" s="1074">
        <v>1</v>
      </c>
      <c r="AO14" s="1080">
        <v>2</v>
      </c>
      <c r="AP14" s="1077">
        <v>4</v>
      </c>
      <c r="AQ14" s="1074">
        <v>1</v>
      </c>
      <c r="AR14" s="1078">
        <v>2</v>
      </c>
      <c r="AS14" s="1079">
        <v>4</v>
      </c>
      <c r="AT14" s="1074">
        <v>1</v>
      </c>
      <c r="AU14" s="1080">
        <v>2</v>
      </c>
      <c r="AV14" s="1077">
        <v>4</v>
      </c>
      <c r="AW14" s="1074">
        <v>1</v>
      </c>
      <c r="AX14" s="1078">
        <v>2</v>
      </c>
      <c r="AY14" s="1079">
        <v>4</v>
      </c>
      <c r="AZ14" s="1074">
        <v>1</v>
      </c>
      <c r="BA14" s="1080">
        <v>2</v>
      </c>
      <c r="BB14" s="1077">
        <v>4</v>
      </c>
      <c r="BC14" s="1074">
        <v>1</v>
      </c>
      <c r="BD14" s="1078">
        <v>2</v>
      </c>
      <c r="BE14" s="1079">
        <v>4</v>
      </c>
      <c r="BF14" s="1074">
        <v>1</v>
      </c>
      <c r="BG14" s="1080">
        <v>2</v>
      </c>
      <c r="BH14" s="1077">
        <v>4</v>
      </c>
      <c r="BI14" s="1074">
        <v>1</v>
      </c>
      <c r="BJ14" s="1078">
        <v>2</v>
      </c>
      <c r="BK14" s="1079">
        <v>4</v>
      </c>
      <c r="BL14" s="1074">
        <v>1</v>
      </c>
      <c r="BM14" s="1080">
        <v>2</v>
      </c>
      <c r="BN14" s="1076"/>
      <c r="BO14" s="1074"/>
      <c r="BP14" s="1076"/>
      <c r="BQ14" s="1081">
        <f t="shared" si="0"/>
        <v>141.5</v>
      </c>
    </row>
    <row r="15" spans="1:69" s="4" customFormat="1" ht="20.100000000000001" customHeight="1" thickTop="1" thickBot="1">
      <c r="A15" s="1117"/>
      <c r="B15" s="1092" t="str">
        <f ca="1">IF(A15="","",OFFSET(BaseDeDonnéesSalariés!B$2,RelevéHeuresChantiersParMois!A15-1,0))</f>
        <v/>
      </c>
      <c r="C15" s="1093"/>
      <c r="D15" s="1094"/>
      <c r="E15" s="1095"/>
      <c r="F15" s="1096"/>
      <c r="G15" s="1094"/>
      <c r="H15" s="1096"/>
      <c r="I15" s="1093"/>
      <c r="J15" s="1094"/>
      <c r="K15" s="1095"/>
      <c r="L15" s="1097"/>
      <c r="M15" s="1094"/>
      <c r="N15" s="1098"/>
      <c r="O15" s="1099"/>
      <c r="P15" s="1094"/>
      <c r="Q15" s="1100"/>
      <c r="R15" s="1097"/>
      <c r="S15" s="1094"/>
      <c r="T15" s="1098"/>
      <c r="U15" s="1099"/>
      <c r="V15" s="1094"/>
      <c r="W15" s="1100"/>
      <c r="X15" s="1097"/>
      <c r="Y15" s="1094"/>
      <c r="Z15" s="1098"/>
      <c r="AA15" s="1099"/>
      <c r="AB15" s="1094"/>
      <c r="AC15" s="1100"/>
      <c r="AD15" s="1099"/>
      <c r="AE15" s="1094"/>
      <c r="AF15" s="1100"/>
      <c r="AG15" s="1099"/>
      <c r="AH15" s="1094"/>
      <c r="AI15" s="1100"/>
      <c r="AJ15" s="1097"/>
      <c r="AK15" s="1094"/>
      <c r="AL15" s="1098"/>
      <c r="AM15" s="1099"/>
      <c r="AN15" s="1094"/>
      <c r="AO15" s="1100"/>
      <c r="AP15" s="1097"/>
      <c r="AQ15" s="1094"/>
      <c r="AR15" s="1098"/>
      <c r="AS15" s="1099"/>
      <c r="AT15" s="1094"/>
      <c r="AU15" s="1100"/>
      <c r="AV15" s="1097"/>
      <c r="AW15" s="1094"/>
      <c r="AX15" s="1098"/>
      <c r="AY15" s="1099"/>
      <c r="AZ15" s="1094"/>
      <c r="BA15" s="1100"/>
      <c r="BB15" s="1097"/>
      <c r="BC15" s="1094"/>
      <c r="BD15" s="1098"/>
      <c r="BE15" s="1099"/>
      <c r="BF15" s="1094"/>
      <c r="BG15" s="1100"/>
      <c r="BH15" s="1097"/>
      <c r="BI15" s="1094"/>
      <c r="BJ15" s="1098"/>
      <c r="BK15" s="1099"/>
      <c r="BL15" s="1094"/>
      <c r="BM15" s="1100"/>
      <c r="BN15" s="1096"/>
      <c r="BO15" s="1094"/>
      <c r="BP15" s="1096"/>
      <c r="BQ15" s="1101">
        <f t="shared" si="0"/>
        <v>0</v>
      </c>
    </row>
    <row r="16" spans="1:69" ht="20.100000000000001" customHeight="1" thickTop="1" thickBot="1">
      <c r="A16" s="1118"/>
      <c r="B16" s="1072" t="str">
        <f ca="1">IF(A16="","",OFFSET(BaseDeDonnéesSalariés!B$2,RelevéHeuresChantiersParMois!A16-1,0))</f>
        <v/>
      </c>
      <c r="C16" s="1073"/>
      <c r="D16" s="1074"/>
      <c r="E16" s="1075"/>
      <c r="F16" s="1076"/>
      <c r="G16" s="1074"/>
      <c r="H16" s="1076"/>
      <c r="I16" s="1073"/>
      <c r="J16" s="1074"/>
      <c r="K16" s="1075"/>
      <c r="L16" s="1077"/>
      <c r="M16" s="1074"/>
      <c r="N16" s="1078"/>
      <c r="O16" s="1079"/>
      <c r="P16" s="1074"/>
      <c r="Q16" s="1080"/>
      <c r="R16" s="1077"/>
      <c r="S16" s="1074"/>
      <c r="T16" s="1078"/>
      <c r="U16" s="1079"/>
      <c r="V16" s="1074"/>
      <c r="W16" s="1080"/>
      <c r="X16" s="1077"/>
      <c r="Y16" s="1074"/>
      <c r="Z16" s="1078"/>
      <c r="AA16" s="1079"/>
      <c r="AB16" s="1074"/>
      <c r="AC16" s="1080"/>
      <c r="AD16" s="1079"/>
      <c r="AE16" s="1074"/>
      <c r="AF16" s="1080"/>
      <c r="AG16" s="1079"/>
      <c r="AH16" s="1074"/>
      <c r="AI16" s="1080"/>
      <c r="AJ16" s="1077"/>
      <c r="AK16" s="1074"/>
      <c r="AL16" s="1078"/>
      <c r="AM16" s="1079"/>
      <c r="AN16" s="1074"/>
      <c r="AO16" s="1080"/>
      <c r="AP16" s="1077"/>
      <c r="AQ16" s="1074"/>
      <c r="AR16" s="1078"/>
      <c r="AS16" s="1079"/>
      <c r="AT16" s="1074"/>
      <c r="AU16" s="1080"/>
      <c r="AV16" s="1077"/>
      <c r="AW16" s="1074"/>
      <c r="AX16" s="1078"/>
      <c r="AY16" s="1079"/>
      <c r="AZ16" s="1074"/>
      <c r="BA16" s="1080"/>
      <c r="BB16" s="1077"/>
      <c r="BC16" s="1074"/>
      <c r="BD16" s="1078"/>
      <c r="BE16" s="1079"/>
      <c r="BF16" s="1074"/>
      <c r="BG16" s="1080"/>
      <c r="BH16" s="1077"/>
      <c r="BI16" s="1074"/>
      <c r="BJ16" s="1078"/>
      <c r="BK16" s="1079"/>
      <c r="BL16" s="1074"/>
      <c r="BM16" s="1080"/>
      <c r="BN16" s="1076"/>
      <c r="BO16" s="1074"/>
      <c r="BP16" s="1076"/>
      <c r="BQ16" s="1081">
        <f t="shared" si="0"/>
        <v>0</v>
      </c>
    </row>
    <row r="17" spans="1:69" s="4" customFormat="1" ht="20.100000000000001" customHeight="1" thickTop="1" thickBot="1">
      <c r="A17" s="1117"/>
      <c r="B17" s="1092" t="str">
        <f ca="1">IF(A17="","",OFFSET(BaseDeDonnéesSalariés!B$2,RelevéHeuresChantiersParMois!A17-1,0))</f>
        <v/>
      </c>
      <c r="C17" s="1093"/>
      <c r="D17" s="1094"/>
      <c r="E17" s="1095"/>
      <c r="F17" s="1096"/>
      <c r="G17" s="1094"/>
      <c r="H17" s="1096"/>
      <c r="I17" s="1093"/>
      <c r="J17" s="1094"/>
      <c r="K17" s="1095"/>
      <c r="L17" s="1097"/>
      <c r="M17" s="1094"/>
      <c r="N17" s="1098"/>
      <c r="O17" s="1099"/>
      <c r="P17" s="1094"/>
      <c r="Q17" s="1100"/>
      <c r="R17" s="1097"/>
      <c r="S17" s="1094"/>
      <c r="T17" s="1098"/>
      <c r="U17" s="1099"/>
      <c r="V17" s="1094"/>
      <c r="W17" s="1100"/>
      <c r="X17" s="1097"/>
      <c r="Y17" s="1094"/>
      <c r="Z17" s="1098"/>
      <c r="AA17" s="1099"/>
      <c r="AB17" s="1094"/>
      <c r="AC17" s="1100"/>
      <c r="AD17" s="1099"/>
      <c r="AE17" s="1094"/>
      <c r="AF17" s="1100"/>
      <c r="AG17" s="1099"/>
      <c r="AH17" s="1094"/>
      <c r="AI17" s="1100"/>
      <c r="AJ17" s="1097"/>
      <c r="AK17" s="1094"/>
      <c r="AL17" s="1098"/>
      <c r="AM17" s="1099"/>
      <c r="AN17" s="1094"/>
      <c r="AO17" s="1100"/>
      <c r="AP17" s="1097"/>
      <c r="AQ17" s="1094"/>
      <c r="AR17" s="1098"/>
      <c r="AS17" s="1099"/>
      <c r="AT17" s="1094"/>
      <c r="AU17" s="1100"/>
      <c r="AV17" s="1097"/>
      <c r="AW17" s="1094"/>
      <c r="AX17" s="1098"/>
      <c r="AY17" s="1099"/>
      <c r="AZ17" s="1094"/>
      <c r="BA17" s="1100"/>
      <c r="BB17" s="1097"/>
      <c r="BC17" s="1094"/>
      <c r="BD17" s="1098"/>
      <c r="BE17" s="1099"/>
      <c r="BF17" s="1094"/>
      <c r="BG17" s="1100"/>
      <c r="BH17" s="1097"/>
      <c r="BI17" s="1094"/>
      <c r="BJ17" s="1098"/>
      <c r="BK17" s="1099"/>
      <c r="BL17" s="1094"/>
      <c r="BM17" s="1100"/>
      <c r="BN17" s="1096"/>
      <c r="BO17" s="1094"/>
      <c r="BP17" s="1096"/>
      <c r="BQ17" s="1101">
        <f t="shared" si="0"/>
        <v>0</v>
      </c>
    </row>
    <row r="18" spans="1:69" ht="20.100000000000001" customHeight="1" thickTop="1" thickBot="1">
      <c r="A18" s="1118"/>
      <c r="B18" s="1072" t="str">
        <f ca="1">IF(A18="","",OFFSET(BaseDeDonnéesSalariés!B$2,RelevéHeuresChantiersParMois!A18-1,0))</f>
        <v/>
      </c>
      <c r="C18" s="1073"/>
      <c r="D18" s="1074"/>
      <c r="E18" s="1075"/>
      <c r="F18" s="1076"/>
      <c r="G18" s="1074"/>
      <c r="H18" s="1076"/>
      <c r="I18" s="1073"/>
      <c r="J18" s="1074"/>
      <c r="K18" s="1075"/>
      <c r="L18" s="1077"/>
      <c r="M18" s="1074"/>
      <c r="N18" s="1078"/>
      <c r="O18" s="1079"/>
      <c r="P18" s="1074"/>
      <c r="Q18" s="1080"/>
      <c r="R18" s="1077"/>
      <c r="S18" s="1074"/>
      <c r="T18" s="1078"/>
      <c r="U18" s="1079"/>
      <c r="V18" s="1074"/>
      <c r="W18" s="1080"/>
      <c r="X18" s="1077"/>
      <c r="Y18" s="1074"/>
      <c r="Z18" s="1078"/>
      <c r="AA18" s="1079"/>
      <c r="AB18" s="1074"/>
      <c r="AC18" s="1080"/>
      <c r="AD18" s="1079"/>
      <c r="AE18" s="1074"/>
      <c r="AF18" s="1080"/>
      <c r="AG18" s="1079"/>
      <c r="AH18" s="1074"/>
      <c r="AI18" s="1080"/>
      <c r="AJ18" s="1077"/>
      <c r="AK18" s="1074"/>
      <c r="AL18" s="1078"/>
      <c r="AM18" s="1079"/>
      <c r="AN18" s="1074"/>
      <c r="AO18" s="1080"/>
      <c r="AP18" s="1077"/>
      <c r="AQ18" s="1074"/>
      <c r="AR18" s="1078"/>
      <c r="AS18" s="1079"/>
      <c r="AT18" s="1074"/>
      <c r="AU18" s="1080"/>
      <c r="AV18" s="1077"/>
      <c r="AW18" s="1074"/>
      <c r="AX18" s="1078"/>
      <c r="AY18" s="1079"/>
      <c r="AZ18" s="1074"/>
      <c r="BA18" s="1080"/>
      <c r="BB18" s="1077"/>
      <c r="BC18" s="1074"/>
      <c r="BD18" s="1078"/>
      <c r="BE18" s="1079"/>
      <c r="BF18" s="1074"/>
      <c r="BG18" s="1080"/>
      <c r="BH18" s="1077"/>
      <c r="BI18" s="1074"/>
      <c r="BJ18" s="1078"/>
      <c r="BK18" s="1079"/>
      <c r="BL18" s="1074"/>
      <c r="BM18" s="1080"/>
      <c r="BN18" s="1076"/>
      <c r="BO18" s="1074"/>
      <c r="BP18" s="1076"/>
      <c r="BQ18" s="1081">
        <f t="shared" si="0"/>
        <v>0</v>
      </c>
    </row>
    <row r="19" spans="1:69" s="4" customFormat="1" ht="20.100000000000001" customHeight="1" thickTop="1" thickBot="1">
      <c r="A19" s="1117"/>
      <c r="B19" s="1092" t="str">
        <f ca="1">IF(A19="","",OFFSET(BaseDeDonnéesSalariés!B$2,RelevéHeuresChantiersParMois!A19-1,0))</f>
        <v/>
      </c>
      <c r="C19" s="1093"/>
      <c r="D19" s="1094"/>
      <c r="E19" s="1095"/>
      <c r="F19" s="1096"/>
      <c r="G19" s="1094"/>
      <c r="H19" s="1096"/>
      <c r="I19" s="1093"/>
      <c r="J19" s="1094"/>
      <c r="K19" s="1095"/>
      <c r="L19" s="1097"/>
      <c r="M19" s="1094"/>
      <c r="N19" s="1098"/>
      <c r="O19" s="1099"/>
      <c r="P19" s="1094"/>
      <c r="Q19" s="1100"/>
      <c r="R19" s="1097"/>
      <c r="S19" s="1094"/>
      <c r="T19" s="1098"/>
      <c r="U19" s="1099"/>
      <c r="V19" s="1094"/>
      <c r="W19" s="1100"/>
      <c r="X19" s="1097"/>
      <c r="Y19" s="1094"/>
      <c r="Z19" s="1098"/>
      <c r="AA19" s="1099"/>
      <c r="AB19" s="1094"/>
      <c r="AC19" s="1100"/>
      <c r="AD19" s="1099"/>
      <c r="AE19" s="1094"/>
      <c r="AF19" s="1100"/>
      <c r="AG19" s="1099"/>
      <c r="AH19" s="1094"/>
      <c r="AI19" s="1100"/>
      <c r="AJ19" s="1097"/>
      <c r="AK19" s="1094"/>
      <c r="AL19" s="1098"/>
      <c r="AM19" s="1099"/>
      <c r="AN19" s="1094"/>
      <c r="AO19" s="1100"/>
      <c r="AP19" s="1097"/>
      <c r="AQ19" s="1094"/>
      <c r="AR19" s="1098"/>
      <c r="AS19" s="1099"/>
      <c r="AT19" s="1094"/>
      <c r="AU19" s="1100"/>
      <c r="AV19" s="1097"/>
      <c r="AW19" s="1094"/>
      <c r="AX19" s="1098"/>
      <c r="AY19" s="1099"/>
      <c r="AZ19" s="1094"/>
      <c r="BA19" s="1100"/>
      <c r="BB19" s="1097"/>
      <c r="BC19" s="1094"/>
      <c r="BD19" s="1098"/>
      <c r="BE19" s="1099"/>
      <c r="BF19" s="1094"/>
      <c r="BG19" s="1100"/>
      <c r="BH19" s="1097"/>
      <c r="BI19" s="1094"/>
      <c r="BJ19" s="1098"/>
      <c r="BK19" s="1099"/>
      <c r="BL19" s="1094"/>
      <c r="BM19" s="1100"/>
      <c r="BN19" s="1096"/>
      <c r="BO19" s="1094"/>
      <c r="BP19" s="1096"/>
      <c r="BQ19" s="1101">
        <f t="shared" si="0"/>
        <v>0</v>
      </c>
    </row>
    <row r="20" spans="1:69" ht="20.100000000000001" customHeight="1" thickTop="1" thickBot="1">
      <c r="A20" s="1118"/>
      <c r="B20" s="1072" t="str">
        <f ca="1">IF(A20="","",OFFSET(BaseDeDonnéesSalariés!B$2,RelevéHeuresChantiersParMois!A20-1,0))</f>
        <v/>
      </c>
      <c r="C20" s="1073"/>
      <c r="D20" s="1074"/>
      <c r="E20" s="1075"/>
      <c r="F20" s="1076"/>
      <c r="G20" s="1074"/>
      <c r="H20" s="1076"/>
      <c r="I20" s="1073"/>
      <c r="J20" s="1074"/>
      <c r="K20" s="1075"/>
      <c r="L20" s="1077"/>
      <c r="M20" s="1074"/>
      <c r="N20" s="1078"/>
      <c r="O20" s="1079"/>
      <c r="P20" s="1074"/>
      <c r="Q20" s="1080"/>
      <c r="R20" s="1077"/>
      <c r="S20" s="1074"/>
      <c r="T20" s="1078"/>
      <c r="U20" s="1079"/>
      <c r="V20" s="1074"/>
      <c r="W20" s="1080"/>
      <c r="X20" s="1077"/>
      <c r="Y20" s="1074"/>
      <c r="Z20" s="1078"/>
      <c r="AA20" s="1079"/>
      <c r="AB20" s="1074"/>
      <c r="AC20" s="1080"/>
      <c r="AD20" s="1079"/>
      <c r="AE20" s="1074"/>
      <c r="AF20" s="1080"/>
      <c r="AG20" s="1079"/>
      <c r="AH20" s="1074"/>
      <c r="AI20" s="1080"/>
      <c r="AJ20" s="1077"/>
      <c r="AK20" s="1074"/>
      <c r="AL20" s="1078"/>
      <c r="AM20" s="1079"/>
      <c r="AN20" s="1074"/>
      <c r="AO20" s="1080"/>
      <c r="AP20" s="1077"/>
      <c r="AQ20" s="1074"/>
      <c r="AR20" s="1078"/>
      <c r="AS20" s="1079"/>
      <c r="AT20" s="1074"/>
      <c r="AU20" s="1080"/>
      <c r="AV20" s="1077"/>
      <c r="AW20" s="1074"/>
      <c r="AX20" s="1078"/>
      <c r="AY20" s="1079"/>
      <c r="AZ20" s="1074"/>
      <c r="BA20" s="1080"/>
      <c r="BB20" s="1077"/>
      <c r="BC20" s="1074"/>
      <c r="BD20" s="1078"/>
      <c r="BE20" s="1079"/>
      <c r="BF20" s="1074"/>
      <c r="BG20" s="1080"/>
      <c r="BH20" s="1077"/>
      <c r="BI20" s="1074"/>
      <c r="BJ20" s="1078"/>
      <c r="BK20" s="1079"/>
      <c r="BL20" s="1074"/>
      <c r="BM20" s="1080"/>
      <c r="BN20" s="1076"/>
      <c r="BO20" s="1074"/>
      <c r="BP20" s="1076"/>
      <c r="BQ20" s="1081">
        <f t="shared" si="0"/>
        <v>0</v>
      </c>
    </row>
    <row r="21" spans="1:69" ht="20.100000000000001" customHeight="1" thickTop="1" thickBot="1">
      <c r="A21" s="1119"/>
      <c r="B21" s="1102" t="str">
        <f ca="1">IF(A21="","",OFFSET(BaseDeDonnéesSalariés!B$2,RelevéHeuresChantiersParMois!A21-1,0))</f>
        <v/>
      </c>
      <c r="C21" s="1103"/>
      <c r="D21" s="1104"/>
      <c r="E21" s="1105"/>
      <c r="F21" s="1106"/>
      <c r="G21" s="1104"/>
      <c r="H21" s="1106"/>
      <c r="I21" s="1103"/>
      <c r="J21" s="1104"/>
      <c r="K21" s="1105"/>
      <c r="L21" s="1107"/>
      <c r="M21" s="1104"/>
      <c r="N21" s="1108"/>
      <c r="O21" s="1109"/>
      <c r="P21" s="1104"/>
      <c r="Q21" s="1110"/>
      <c r="R21" s="1107"/>
      <c r="S21" s="1104"/>
      <c r="T21" s="1108"/>
      <c r="U21" s="1109"/>
      <c r="V21" s="1104"/>
      <c r="W21" s="1110"/>
      <c r="X21" s="1107"/>
      <c r="Y21" s="1104"/>
      <c r="Z21" s="1108"/>
      <c r="AA21" s="1109"/>
      <c r="AB21" s="1104"/>
      <c r="AC21" s="1110"/>
      <c r="AD21" s="1109"/>
      <c r="AE21" s="1104"/>
      <c r="AF21" s="1110"/>
      <c r="AG21" s="1109"/>
      <c r="AH21" s="1104"/>
      <c r="AI21" s="1110"/>
      <c r="AJ21" s="1107"/>
      <c r="AK21" s="1104"/>
      <c r="AL21" s="1108"/>
      <c r="AM21" s="1109"/>
      <c r="AN21" s="1104"/>
      <c r="AO21" s="1110"/>
      <c r="AP21" s="1107"/>
      <c r="AQ21" s="1104"/>
      <c r="AR21" s="1108"/>
      <c r="AS21" s="1109"/>
      <c r="AT21" s="1104"/>
      <c r="AU21" s="1110"/>
      <c r="AV21" s="1107"/>
      <c r="AW21" s="1104"/>
      <c r="AX21" s="1108"/>
      <c r="AY21" s="1109"/>
      <c r="AZ21" s="1104"/>
      <c r="BA21" s="1110"/>
      <c r="BB21" s="1107"/>
      <c r="BC21" s="1104"/>
      <c r="BD21" s="1108"/>
      <c r="BE21" s="1109"/>
      <c r="BF21" s="1104"/>
      <c r="BG21" s="1110"/>
      <c r="BH21" s="1107"/>
      <c r="BI21" s="1104"/>
      <c r="BJ21" s="1108"/>
      <c r="BK21" s="1109"/>
      <c r="BL21" s="1104"/>
      <c r="BM21" s="1110"/>
      <c r="BN21" s="1106"/>
      <c r="BO21" s="1104"/>
      <c r="BP21" s="1106"/>
      <c r="BQ21" s="1111">
        <f t="shared" si="0"/>
        <v>0</v>
      </c>
    </row>
    <row r="22" spans="1:69" ht="20.100000000000001" customHeight="1" thickTop="1" thickBot="1">
      <c r="A22" s="1120"/>
      <c r="B22" s="1082" t="str">
        <f ca="1">IF(A22="","",OFFSET(BaseDeDonnéesSalariés!B$2,RelevéHeuresChantiersParMois!A22-1,0))</f>
        <v/>
      </c>
      <c r="C22" s="1083"/>
      <c r="D22" s="1084"/>
      <c r="E22" s="1085"/>
      <c r="F22" s="1086"/>
      <c r="G22" s="1084"/>
      <c r="H22" s="1086"/>
      <c r="I22" s="1083"/>
      <c r="J22" s="1084"/>
      <c r="K22" s="1085"/>
      <c r="L22" s="1087"/>
      <c r="M22" s="1084"/>
      <c r="N22" s="1088"/>
      <c r="O22" s="1089"/>
      <c r="P22" s="1084"/>
      <c r="Q22" s="1090"/>
      <c r="R22" s="1087"/>
      <c r="S22" s="1084"/>
      <c r="T22" s="1088"/>
      <c r="U22" s="1089"/>
      <c r="V22" s="1084"/>
      <c r="W22" s="1090"/>
      <c r="X22" s="1087"/>
      <c r="Y22" s="1084"/>
      <c r="Z22" s="1088"/>
      <c r="AA22" s="1089"/>
      <c r="AB22" s="1084"/>
      <c r="AC22" s="1090"/>
      <c r="AD22" s="1089"/>
      <c r="AE22" s="1084"/>
      <c r="AF22" s="1090"/>
      <c r="AG22" s="1089"/>
      <c r="AH22" s="1084"/>
      <c r="AI22" s="1090"/>
      <c r="AJ22" s="1087"/>
      <c r="AK22" s="1084"/>
      <c r="AL22" s="1088"/>
      <c r="AM22" s="1089"/>
      <c r="AN22" s="1084"/>
      <c r="AO22" s="1090"/>
      <c r="AP22" s="1087"/>
      <c r="AQ22" s="1084"/>
      <c r="AR22" s="1088"/>
      <c r="AS22" s="1089"/>
      <c r="AT22" s="1084"/>
      <c r="AU22" s="1090"/>
      <c r="AV22" s="1087"/>
      <c r="AW22" s="1084"/>
      <c r="AX22" s="1088"/>
      <c r="AY22" s="1089"/>
      <c r="AZ22" s="1084"/>
      <c r="BA22" s="1090"/>
      <c r="BB22" s="1087"/>
      <c r="BC22" s="1084"/>
      <c r="BD22" s="1088"/>
      <c r="BE22" s="1089"/>
      <c r="BF22" s="1084"/>
      <c r="BG22" s="1090"/>
      <c r="BH22" s="1087"/>
      <c r="BI22" s="1084"/>
      <c r="BJ22" s="1088"/>
      <c r="BK22" s="1089"/>
      <c r="BL22" s="1084"/>
      <c r="BM22" s="1090"/>
      <c r="BN22" s="1086"/>
      <c r="BO22" s="1084"/>
      <c r="BP22" s="1086"/>
      <c r="BQ22" s="1091">
        <f t="shared" si="0"/>
        <v>0</v>
      </c>
    </row>
    <row r="23" spans="1:69" s="8" customFormat="1" ht="30.75" customHeight="1" thickTop="1" thickBot="1">
      <c r="A23" s="1181" t="s">
        <v>671</v>
      </c>
      <c r="B23" s="1182"/>
      <c r="C23" s="1112">
        <f>SUM(C4:C22)</f>
        <v>38.5</v>
      </c>
      <c r="D23" s="1113">
        <f t="shared" ref="D23:BO23" si="1">SUM(D4:D22)</f>
        <v>11</v>
      </c>
      <c r="E23" s="1114">
        <f t="shared" si="1"/>
        <v>22</v>
      </c>
      <c r="F23" s="1112">
        <f t="shared" si="1"/>
        <v>44</v>
      </c>
      <c r="G23" s="1113">
        <f t="shared" si="1"/>
        <v>0</v>
      </c>
      <c r="H23" s="1114">
        <f t="shared" si="1"/>
        <v>0</v>
      </c>
      <c r="I23" s="1112">
        <f t="shared" si="1"/>
        <v>44</v>
      </c>
      <c r="J23" s="1113">
        <f t="shared" si="1"/>
        <v>11</v>
      </c>
      <c r="K23" s="1114">
        <f t="shared" si="1"/>
        <v>22</v>
      </c>
      <c r="L23" s="1112">
        <f t="shared" si="1"/>
        <v>44</v>
      </c>
      <c r="M23" s="1113">
        <f t="shared" si="1"/>
        <v>11</v>
      </c>
      <c r="N23" s="1114">
        <f t="shared" si="1"/>
        <v>0</v>
      </c>
      <c r="O23" s="1112">
        <f t="shared" si="1"/>
        <v>44</v>
      </c>
      <c r="P23" s="1113">
        <f t="shared" si="1"/>
        <v>11</v>
      </c>
      <c r="Q23" s="1114">
        <f t="shared" si="1"/>
        <v>22</v>
      </c>
      <c r="R23" s="1112">
        <f t="shared" si="1"/>
        <v>44</v>
      </c>
      <c r="S23" s="1113">
        <f t="shared" si="1"/>
        <v>11</v>
      </c>
      <c r="T23" s="1114">
        <f t="shared" si="1"/>
        <v>22</v>
      </c>
      <c r="U23" s="1112">
        <f t="shared" si="1"/>
        <v>44</v>
      </c>
      <c r="V23" s="1113">
        <f t="shared" si="1"/>
        <v>11</v>
      </c>
      <c r="W23" s="1114">
        <f t="shared" si="1"/>
        <v>22</v>
      </c>
      <c r="X23" s="1112">
        <f t="shared" si="1"/>
        <v>44</v>
      </c>
      <c r="Y23" s="1113">
        <f t="shared" si="1"/>
        <v>11</v>
      </c>
      <c r="Z23" s="1114">
        <f t="shared" si="1"/>
        <v>22</v>
      </c>
      <c r="AA23" s="1112">
        <f t="shared" si="1"/>
        <v>44</v>
      </c>
      <c r="AB23" s="1113">
        <f t="shared" si="1"/>
        <v>11</v>
      </c>
      <c r="AC23" s="1114">
        <f t="shared" si="1"/>
        <v>22</v>
      </c>
      <c r="AD23" s="1112">
        <f t="shared" si="1"/>
        <v>44</v>
      </c>
      <c r="AE23" s="1113">
        <f t="shared" si="1"/>
        <v>11</v>
      </c>
      <c r="AF23" s="1114">
        <f t="shared" si="1"/>
        <v>22</v>
      </c>
      <c r="AG23" s="1112">
        <f t="shared" si="1"/>
        <v>44</v>
      </c>
      <c r="AH23" s="1113">
        <f t="shared" si="1"/>
        <v>11</v>
      </c>
      <c r="AI23" s="1114">
        <f t="shared" si="1"/>
        <v>22</v>
      </c>
      <c r="AJ23" s="1112">
        <f t="shared" si="1"/>
        <v>44</v>
      </c>
      <c r="AK23" s="1113">
        <f t="shared" si="1"/>
        <v>11</v>
      </c>
      <c r="AL23" s="1114">
        <f t="shared" si="1"/>
        <v>22</v>
      </c>
      <c r="AM23" s="1112">
        <f t="shared" si="1"/>
        <v>44</v>
      </c>
      <c r="AN23" s="1113">
        <f t="shared" si="1"/>
        <v>11</v>
      </c>
      <c r="AO23" s="1114">
        <f t="shared" si="1"/>
        <v>22</v>
      </c>
      <c r="AP23" s="1112">
        <f t="shared" si="1"/>
        <v>44</v>
      </c>
      <c r="AQ23" s="1113">
        <f t="shared" si="1"/>
        <v>11</v>
      </c>
      <c r="AR23" s="1114">
        <f t="shared" si="1"/>
        <v>22</v>
      </c>
      <c r="AS23" s="1112">
        <f t="shared" si="1"/>
        <v>44</v>
      </c>
      <c r="AT23" s="1113">
        <f t="shared" si="1"/>
        <v>11</v>
      </c>
      <c r="AU23" s="1114">
        <f t="shared" si="1"/>
        <v>22</v>
      </c>
      <c r="AV23" s="1112">
        <f t="shared" si="1"/>
        <v>44</v>
      </c>
      <c r="AW23" s="1113">
        <f t="shared" si="1"/>
        <v>11</v>
      </c>
      <c r="AX23" s="1114">
        <f t="shared" si="1"/>
        <v>22</v>
      </c>
      <c r="AY23" s="1112">
        <f t="shared" si="1"/>
        <v>44</v>
      </c>
      <c r="AZ23" s="1113">
        <f t="shared" si="1"/>
        <v>11</v>
      </c>
      <c r="BA23" s="1114">
        <f t="shared" si="1"/>
        <v>22</v>
      </c>
      <c r="BB23" s="1112">
        <f t="shared" si="1"/>
        <v>44</v>
      </c>
      <c r="BC23" s="1113">
        <f t="shared" si="1"/>
        <v>11</v>
      </c>
      <c r="BD23" s="1114">
        <f t="shared" si="1"/>
        <v>22</v>
      </c>
      <c r="BE23" s="1112">
        <f t="shared" si="1"/>
        <v>44</v>
      </c>
      <c r="BF23" s="1113">
        <f t="shared" si="1"/>
        <v>11</v>
      </c>
      <c r="BG23" s="1114">
        <f t="shared" si="1"/>
        <v>22</v>
      </c>
      <c r="BH23" s="1112">
        <f t="shared" si="1"/>
        <v>44</v>
      </c>
      <c r="BI23" s="1113">
        <f t="shared" si="1"/>
        <v>11</v>
      </c>
      <c r="BJ23" s="1114">
        <f t="shared" si="1"/>
        <v>22</v>
      </c>
      <c r="BK23" s="1112">
        <f t="shared" si="1"/>
        <v>44</v>
      </c>
      <c r="BL23" s="1113">
        <f t="shared" si="1"/>
        <v>11</v>
      </c>
      <c r="BM23" s="1114">
        <f t="shared" si="1"/>
        <v>22</v>
      </c>
      <c r="BN23" s="1112">
        <f t="shared" si="1"/>
        <v>0</v>
      </c>
      <c r="BO23" s="1113">
        <f t="shared" si="1"/>
        <v>0</v>
      </c>
      <c r="BP23" s="1114">
        <f>SUM(BP4:BP22)</f>
        <v>0</v>
      </c>
      <c r="BQ23" s="1115">
        <f>SUM(BQ4:BQ22)</f>
        <v>1556.5</v>
      </c>
    </row>
    <row r="24" spans="1:69" s="2" customFormat="1" ht="129.94999999999999" customHeight="1" thickTop="1" thickBot="1">
      <c r="A24" s="1189" t="s">
        <v>25</v>
      </c>
      <c r="B24" s="1190"/>
      <c r="C24" s="1183" t="s">
        <v>650</v>
      </c>
      <c r="D24" s="1184"/>
      <c r="E24" s="1185"/>
      <c r="F24" s="1183" t="s">
        <v>651</v>
      </c>
      <c r="G24" s="1184"/>
      <c r="H24" s="1185"/>
      <c r="I24" s="1183" t="s">
        <v>652</v>
      </c>
      <c r="J24" s="1184"/>
      <c r="K24" s="1185"/>
      <c r="L24" s="1183" t="s">
        <v>653</v>
      </c>
      <c r="M24" s="1184"/>
      <c r="N24" s="1185"/>
      <c r="O24" s="1183" t="s">
        <v>654</v>
      </c>
      <c r="P24" s="1184"/>
      <c r="Q24" s="1185"/>
      <c r="R24" s="1183" t="s">
        <v>655</v>
      </c>
      <c r="S24" s="1184"/>
      <c r="T24" s="1185"/>
      <c r="U24" s="1183" t="s">
        <v>656</v>
      </c>
      <c r="V24" s="1184"/>
      <c r="W24" s="1185"/>
      <c r="X24" s="1183" t="s">
        <v>657</v>
      </c>
      <c r="Y24" s="1184"/>
      <c r="Z24" s="1185"/>
      <c r="AA24" s="1183" t="s">
        <v>658</v>
      </c>
      <c r="AB24" s="1184"/>
      <c r="AC24" s="1185"/>
      <c r="AD24" s="1183" t="s">
        <v>659</v>
      </c>
      <c r="AE24" s="1184"/>
      <c r="AF24" s="1185"/>
      <c r="AG24" s="1183" t="s">
        <v>660</v>
      </c>
      <c r="AH24" s="1184"/>
      <c r="AI24" s="1185"/>
      <c r="AJ24" s="1183" t="s">
        <v>661</v>
      </c>
      <c r="AK24" s="1184"/>
      <c r="AL24" s="1185"/>
      <c r="AM24" s="1183" t="s">
        <v>662</v>
      </c>
      <c r="AN24" s="1184"/>
      <c r="AO24" s="1185"/>
      <c r="AP24" s="1183" t="s">
        <v>663</v>
      </c>
      <c r="AQ24" s="1184"/>
      <c r="AR24" s="1185"/>
      <c r="AS24" s="1183" t="s">
        <v>664</v>
      </c>
      <c r="AT24" s="1184"/>
      <c r="AU24" s="1185"/>
      <c r="AV24" s="1183" t="s">
        <v>665</v>
      </c>
      <c r="AW24" s="1184"/>
      <c r="AX24" s="1185"/>
      <c r="AY24" s="1183" t="s">
        <v>666</v>
      </c>
      <c r="AZ24" s="1184"/>
      <c r="BA24" s="1185"/>
      <c r="BB24" s="1183" t="s">
        <v>667</v>
      </c>
      <c r="BC24" s="1184"/>
      <c r="BD24" s="1185"/>
      <c r="BE24" s="1183" t="s">
        <v>668</v>
      </c>
      <c r="BF24" s="1184"/>
      <c r="BG24" s="1185"/>
      <c r="BH24" s="1183" t="s">
        <v>669</v>
      </c>
      <c r="BI24" s="1184"/>
      <c r="BJ24" s="1185"/>
      <c r="BK24" s="1183" t="s">
        <v>670</v>
      </c>
      <c r="BL24" s="1184"/>
      <c r="BM24" s="1185"/>
      <c r="BN24" s="1183"/>
      <c r="BO24" s="1184"/>
      <c r="BP24" s="1185"/>
      <c r="BQ24" s="1186" t="s">
        <v>20</v>
      </c>
    </row>
    <row r="25" spans="1:69" s="6" customFormat="1" ht="17.25" customHeight="1" thickBot="1">
      <c r="A25" s="1179" t="s">
        <v>19</v>
      </c>
      <c r="B25" s="1128" t="s">
        <v>18</v>
      </c>
      <c r="C25" s="1125">
        <v>1</v>
      </c>
      <c r="D25" s="1126">
        <v>3</v>
      </c>
      <c r="E25" s="1127">
        <v>5</v>
      </c>
      <c r="F25" s="1125">
        <v>1</v>
      </c>
      <c r="G25" s="1126"/>
      <c r="H25" s="1127"/>
      <c r="I25" s="1125">
        <v>1</v>
      </c>
      <c r="J25" s="1126">
        <v>3</v>
      </c>
      <c r="K25" s="1127">
        <v>5</v>
      </c>
      <c r="L25" s="1125">
        <v>1</v>
      </c>
      <c r="M25" s="1126">
        <v>3</v>
      </c>
      <c r="N25" s="1127"/>
      <c r="O25" s="1125">
        <v>3</v>
      </c>
      <c r="P25" s="1126">
        <v>4</v>
      </c>
      <c r="Q25" s="1127">
        <v>5</v>
      </c>
      <c r="R25" s="1125">
        <v>3</v>
      </c>
      <c r="S25" s="1126">
        <v>4</v>
      </c>
      <c r="T25" s="1127">
        <v>5</v>
      </c>
      <c r="U25" s="1125">
        <v>3</v>
      </c>
      <c r="V25" s="1126">
        <v>4</v>
      </c>
      <c r="W25" s="1127">
        <v>5</v>
      </c>
      <c r="X25" s="1125">
        <v>3</v>
      </c>
      <c r="Y25" s="1126">
        <v>4</v>
      </c>
      <c r="Z25" s="1127">
        <v>5</v>
      </c>
      <c r="AA25" s="1125">
        <v>3</v>
      </c>
      <c r="AB25" s="1126">
        <v>4</v>
      </c>
      <c r="AC25" s="1127">
        <v>5</v>
      </c>
      <c r="AD25" s="1125">
        <v>1</v>
      </c>
      <c r="AE25" s="1126">
        <v>2</v>
      </c>
      <c r="AF25" s="1127">
        <v>3</v>
      </c>
      <c r="AG25" s="1125">
        <v>1</v>
      </c>
      <c r="AH25" s="1126">
        <v>2</v>
      </c>
      <c r="AI25" s="1127">
        <v>3</v>
      </c>
      <c r="AJ25" s="1125">
        <v>1</v>
      </c>
      <c r="AK25" s="1126">
        <v>2</v>
      </c>
      <c r="AL25" s="1127">
        <v>3</v>
      </c>
      <c r="AM25" s="1125">
        <v>1</v>
      </c>
      <c r="AN25" s="1126">
        <v>2</v>
      </c>
      <c r="AO25" s="1127">
        <v>3</v>
      </c>
      <c r="AP25" s="1125">
        <v>1</v>
      </c>
      <c r="AQ25" s="1126">
        <v>2</v>
      </c>
      <c r="AR25" s="1127">
        <v>3</v>
      </c>
      <c r="AS25" s="1125">
        <v>1</v>
      </c>
      <c r="AT25" s="1126">
        <v>2</v>
      </c>
      <c r="AU25" s="1127">
        <v>3</v>
      </c>
      <c r="AV25" s="1125">
        <v>1</v>
      </c>
      <c r="AW25" s="1126">
        <v>2</v>
      </c>
      <c r="AX25" s="1127">
        <v>3</v>
      </c>
      <c r="AY25" s="1125">
        <v>1</v>
      </c>
      <c r="AZ25" s="1126">
        <v>2</v>
      </c>
      <c r="BA25" s="1127">
        <v>3</v>
      </c>
      <c r="BB25" s="1125">
        <v>1</v>
      </c>
      <c r="BC25" s="1126">
        <v>2</v>
      </c>
      <c r="BD25" s="1127">
        <v>3</v>
      </c>
      <c r="BE25" s="1125">
        <v>1</v>
      </c>
      <c r="BF25" s="1126">
        <v>2</v>
      </c>
      <c r="BG25" s="1127">
        <v>3</v>
      </c>
      <c r="BH25" s="1125">
        <v>1</v>
      </c>
      <c r="BI25" s="1126">
        <v>2</v>
      </c>
      <c r="BJ25" s="1127">
        <v>3</v>
      </c>
      <c r="BK25" s="1125">
        <v>1</v>
      </c>
      <c r="BL25" s="1126">
        <v>2</v>
      </c>
      <c r="BM25" s="1127">
        <v>3</v>
      </c>
      <c r="BN25" s="1125"/>
      <c r="BO25" s="1126"/>
      <c r="BP25" s="1127"/>
      <c r="BQ25" s="1187"/>
    </row>
    <row r="26" spans="1:69" s="2" customFormat="1" ht="110.1" customHeight="1" thickBot="1">
      <c r="A26" s="1180"/>
      <c r="B26" s="1121" t="s">
        <v>627</v>
      </c>
      <c r="C26" s="1122" t="str">
        <f ca="1">IF(C25="","",OFFSET(BaseDeDonnéesClients!B$3,RelevéHeuresChantiersParMois!C25-1,0))</f>
        <v>Commune MONTMELIAN</v>
      </c>
      <c r="D26" s="1123" t="str">
        <f ca="1">IF(D25="","",OFFSET(BaseDeDonnéesClients!B$3,RelevéHeuresChantiersParMois!D25-1,0))</f>
        <v>Communauté Com</v>
      </c>
      <c r="E26" s="1124" t="str">
        <f ca="1">IF(E25="","",OFFSET(BaseDeDonnéesClients!B$3,RelevéHeuresChantiersParMois!E25-1,0))</f>
        <v>LENOIR Hervé</v>
      </c>
      <c r="F26" s="1122" t="str">
        <f ca="1">IF(F25="","",OFFSET(BaseDeDonnéesClients!B$3,RelevéHeuresChantiersParMois!F25-1,0))</f>
        <v>Commune MONTMELIAN</v>
      </c>
      <c r="G26" s="1123" t="str">
        <f ca="1">IF(G25="","",OFFSET(BaseDeDonnéesClients!B$3,RelevéHeuresChantiersParMois!G25-1,0))</f>
        <v/>
      </c>
      <c r="H26" s="1124" t="str">
        <f ca="1">IF(H25="","",OFFSET(BaseDeDonnéesClients!B$3,RelevéHeuresChantiersParMois!H25-1,0))</f>
        <v/>
      </c>
      <c r="I26" s="1122" t="str">
        <f ca="1">IF(I25="","",OFFSET(BaseDeDonnéesClients!B$3,RelevéHeuresChantiersParMois!I25-1,0))</f>
        <v>Commune MONTMELIAN</v>
      </c>
      <c r="J26" s="1123" t="str">
        <f ca="1">IF(J25="","",OFFSET(BaseDeDonnéesClients!B$3,RelevéHeuresChantiersParMois!J25-1,0))</f>
        <v>Communauté Com</v>
      </c>
      <c r="K26" s="1124" t="str">
        <f ca="1">IF(K25="","",OFFSET(BaseDeDonnéesClients!B$3,RelevéHeuresChantiersParMois!K25-1,0))</f>
        <v>LENOIR Hervé</v>
      </c>
      <c r="L26" s="1122" t="str">
        <f ca="1">IF(L25="","",OFFSET(BaseDeDonnéesClients!B$3,RelevéHeuresChantiersParMois!L25-1,0))</f>
        <v>Commune MONTMELIAN</v>
      </c>
      <c r="M26" s="1123" t="str">
        <f ca="1">IF(M25="","",OFFSET(BaseDeDonnéesClients!B$3,RelevéHeuresChantiersParMois!M25-1,0))</f>
        <v>Communauté Com</v>
      </c>
      <c r="N26" s="1124" t="str">
        <f ca="1">IF(N25="","",OFFSET(BaseDeDonnéesClients!B$3,RelevéHeuresChantiersParMois!N25-1,0))</f>
        <v/>
      </c>
      <c r="O26" s="1122" t="str">
        <f ca="1">IF(O25="","",OFFSET(BaseDeDonnéesClients!B$3,RelevéHeuresChantiersParMois!O25-1,0))</f>
        <v>Communauté Com</v>
      </c>
      <c r="P26" s="1123" t="str">
        <f ca="1">IF(P25="","",OFFSET(BaseDeDonnéesClients!B$3,RelevéHeuresChantiersParMois!P25-1,0))</f>
        <v>VERDIER Michel</v>
      </c>
      <c r="Q26" s="1124" t="str">
        <f ca="1">IF(Q25="","",OFFSET(BaseDeDonnéesClients!B$3,RelevéHeuresChantiersParMois!Q25-1,0))</f>
        <v>LENOIR Hervé</v>
      </c>
      <c r="R26" s="1122" t="str">
        <f ca="1">IF(R25="","",OFFSET(BaseDeDonnéesClients!B$3,RelevéHeuresChantiersParMois!R25-1,0))</f>
        <v>Communauté Com</v>
      </c>
      <c r="S26" s="1123" t="str">
        <f ca="1">IF(S25="","",OFFSET(BaseDeDonnéesClients!B$3,RelevéHeuresChantiersParMois!S25-1,0))</f>
        <v>VERDIER Michel</v>
      </c>
      <c r="T26" s="1124" t="str">
        <f ca="1">IF(T25="","",OFFSET(BaseDeDonnéesClients!B$3,RelevéHeuresChantiersParMois!T25-1,0))</f>
        <v>LENOIR Hervé</v>
      </c>
      <c r="U26" s="1122" t="str">
        <f ca="1">IF(U25="","",OFFSET(BaseDeDonnéesClients!B$3,RelevéHeuresChantiersParMois!U25-1,0))</f>
        <v>Communauté Com</v>
      </c>
      <c r="V26" s="1123" t="str">
        <f ca="1">IF(V25="","",OFFSET(BaseDeDonnéesClients!B$3,RelevéHeuresChantiersParMois!V25-1,0))</f>
        <v>VERDIER Michel</v>
      </c>
      <c r="W26" s="1124" t="str">
        <f ca="1">IF(W25="","",OFFSET(BaseDeDonnéesClients!B$3,RelevéHeuresChantiersParMois!W25-1,0))</f>
        <v>LENOIR Hervé</v>
      </c>
      <c r="X26" s="1122" t="str">
        <f ca="1">IF(X25="","",OFFSET(BaseDeDonnéesClients!B$3,RelevéHeuresChantiersParMois!X25-1,0))</f>
        <v>Communauté Com</v>
      </c>
      <c r="Y26" s="1123" t="str">
        <f ca="1">IF(Y25="","",OFFSET(BaseDeDonnéesClients!B$3,RelevéHeuresChantiersParMois!Y25-1,0))</f>
        <v>VERDIER Michel</v>
      </c>
      <c r="Z26" s="1124" t="str">
        <f ca="1">IF(Z25="","",OFFSET(BaseDeDonnéesClients!B$3,RelevéHeuresChantiersParMois!Z25-1,0))</f>
        <v>LENOIR Hervé</v>
      </c>
      <c r="AA26" s="1122" t="str">
        <f ca="1">IF(AA25="","",OFFSET(BaseDeDonnéesClients!B$3,RelevéHeuresChantiersParMois!AA25-1,0))</f>
        <v>Communauté Com</v>
      </c>
      <c r="AB26" s="1123" t="str">
        <f ca="1">IF(AB25="","",OFFSET(BaseDeDonnéesClients!B$3,RelevéHeuresChantiersParMois!AB25-1,0))</f>
        <v>VERDIER Michel</v>
      </c>
      <c r="AC26" s="1124" t="str">
        <f ca="1">IF(AC25="","",OFFSET(BaseDeDonnéesClients!B$3,RelevéHeuresChantiersParMois!AC25-1,0))</f>
        <v>LENOIR Hervé</v>
      </c>
      <c r="AD26" s="1122" t="str">
        <f ca="1">IF(AD25="","",OFFSET(BaseDeDonnéesClients!B$3,RelevéHeuresChantiersParMois!AD25-1,0))</f>
        <v>Commune MONTMELIAN</v>
      </c>
      <c r="AE26" s="1123" t="str">
        <f ca="1">IF(AE25="","",OFFSET(BaseDeDonnéesClients!B$3,RelevéHeuresChantiersParMois!AE25-1,0))</f>
        <v>Com ST PIERRE ALBIGNY</v>
      </c>
      <c r="AF26" s="1124" t="str">
        <f ca="1">IF(AF25="","",OFFSET(BaseDeDonnéesClients!B$3,RelevéHeuresChantiersParMois!AF25-1,0))</f>
        <v>Communauté Com</v>
      </c>
      <c r="AG26" s="1122" t="str">
        <f ca="1">IF(AG25="","",OFFSET(BaseDeDonnéesClients!B$3,RelevéHeuresChantiersParMois!AG25-1,0))</f>
        <v>Commune MONTMELIAN</v>
      </c>
      <c r="AH26" s="1123" t="str">
        <f ca="1">IF(AH25="","",OFFSET(BaseDeDonnéesClients!B$3,RelevéHeuresChantiersParMois!AH25-1,0))</f>
        <v>Com ST PIERRE ALBIGNY</v>
      </c>
      <c r="AI26" s="1124" t="str">
        <f ca="1">IF(AI25="","",OFFSET(BaseDeDonnéesClients!B$3,RelevéHeuresChantiersParMois!AI25-1,0))</f>
        <v>Communauté Com</v>
      </c>
      <c r="AJ26" s="1122" t="str">
        <f ca="1">IF(AJ25="","",OFFSET(BaseDeDonnéesClients!B$3,RelevéHeuresChantiersParMois!AJ25-1,0))</f>
        <v>Commune MONTMELIAN</v>
      </c>
      <c r="AK26" s="1123" t="str">
        <f ca="1">IF(AK25="","",OFFSET(BaseDeDonnéesClients!B$3,RelevéHeuresChantiersParMois!AK25-1,0))</f>
        <v>Com ST PIERRE ALBIGNY</v>
      </c>
      <c r="AL26" s="1124" t="str">
        <f ca="1">IF(AL25="","",OFFSET(BaseDeDonnéesClients!B$3,RelevéHeuresChantiersParMois!AL25-1,0))</f>
        <v>Communauté Com</v>
      </c>
      <c r="AM26" s="1122" t="str">
        <f ca="1">IF(AM25="","",OFFSET(BaseDeDonnéesClients!B$3,RelevéHeuresChantiersParMois!AM25-1,0))</f>
        <v>Commune MONTMELIAN</v>
      </c>
      <c r="AN26" s="1123" t="str">
        <f ca="1">IF(AN25="","",OFFSET(BaseDeDonnéesClients!B$3,RelevéHeuresChantiersParMois!AN25-1,0))</f>
        <v>Com ST PIERRE ALBIGNY</v>
      </c>
      <c r="AO26" s="1124" t="str">
        <f ca="1">IF(AO25="","",OFFSET(BaseDeDonnéesClients!B$3,RelevéHeuresChantiersParMois!AO25-1,0))</f>
        <v>Communauté Com</v>
      </c>
      <c r="AP26" s="1122" t="str">
        <f ca="1">IF(AP25="","",OFFSET(BaseDeDonnéesClients!B$3,RelevéHeuresChantiersParMois!AP25-1,0))</f>
        <v>Commune MONTMELIAN</v>
      </c>
      <c r="AQ26" s="1123" t="str">
        <f ca="1">IF(AQ25="","",OFFSET(BaseDeDonnéesClients!B$3,RelevéHeuresChantiersParMois!AQ25-1,0))</f>
        <v>Com ST PIERRE ALBIGNY</v>
      </c>
      <c r="AR26" s="1124" t="str">
        <f ca="1">IF(AR25="","",OFFSET(BaseDeDonnéesClients!B$3,RelevéHeuresChantiersParMois!AR25-1,0))</f>
        <v>Communauté Com</v>
      </c>
      <c r="AS26" s="1122" t="str">
        <f ca="1">IF(AS25="","",OFFSET(BaseDeDonnéesClients!B$3,RelevéHeuresChantiersParMois!AS25-1,0))</f>
        <v>Commune MONTMELIAN</v>
      </c>
      <c r="AT26" s="1123" t="str">
        <f ca="1">IF(AT25="","",OFFSET(BaseDeDonnéesClients!B$3,RelevéHeuresChantiersParMois!AT25-1,0))</f>
        <v>Com ST PIERRE ALBIGNY</v>
      </c>
      <c r="AU26" s="1124" t="str">
        <f ca="1">IF(AU25="","",OFFSET(BaseDeDonnéesClients!B$3,RelevéHeuresChantiersParMois!AU25-1,0))</f>
        <v>Communauté Com</v>
      </c>
      <c r="AV26" s="1122" t="str">
        <f ca="1">IF(AV25="","",OFFSET(BaseDeDonnéesClients!B$3,RelevéHeuresChantiersParMois!AV25-1,0))</f>
        <v>Commune MONTMELIAN</v>
      </c>
      <c r="AW26" s="1123" t="str">
        <f ca="1">IF(AW25="","",OFFSET(BaseDeDonnéesClients!B$3,RelevéHeuresChantiersParMois!AW25-1,0))</f>
        <v>Com ST PIERRE ALBIGNY</v>
      </c>
      <c r="AX26" s="1124" t="str">
        <f ca="1">IF(AX25="","",OFFSET(BaseDeDonnéesClients!B$3,RelevéHeuresChantiersParMois!AX25-1,0))</f>
        <v>Communauté Com</v>
      </c>
      <c r="AY26" s="1122" t="str">
        <f ca="1">IF(AY25="","",OFFSET(BaseDeDonnéesClients!B$3,RelevéHeuresChantiersParMois!AY25-1,0))</f>
        <v>Commune MONTMELIAN</v>
      </c>
      <c r="AZ26" s="1123" t="str">
        <f ca="1">IF(AZ25="","",OFFSET(BaseDeDonnéesClients!B$3,RelevéHeuresChantiersParMois!AZ25-1,0))</f>
        <v>Com ST PIERRE ALBIGNY</v>
      </c>
      <c r="BA26" s="1124" t="str">
        <f ca="1">IF(BA25="","",OFFSET(BaseDeDonnéesClients!B$3,RelevéHeuresChantiersParMois!BA25-1,0))</f>
        <v>Communauté Com</v>
      </c>
      <c r="BB26" s="1122" t="str">
        <f ca="1">IF(BB25="","",OFFSET(BaseDeDonnéesClients!B$3,RelevéHeuresChantiersParMois!BB25-1,0))</f>
        <v>Commune MONTMELIAN</v>
      </c>
      <c r="BC26" s="1123" t="str">
        <f ca="1">IF(BC25="","",OFFSET(BaseDeDonnéesClients!B$3,RelevéHeuresChantiersParMois!BC25-1,0))</f>
        <v>Com ST PIERRE ALBIGNY</v>
      </c>
      <c r="BD26" s="1124" t="str">
        <f ca="1">IF(BD25="","",OFFSET(BaseDeDonnéesClients!B$3,RelevéHeuresChantiersParMois!BD25-1,0))</f>
        <v>Communauté Com</v>
      </c>
      <c r="BE26" s="1122" t="str">
        <f ca="1">IF(BE25="","",OFFSET(BaseDeDonnéesClients!B$3,RelevéHeuresChantiersParMois!BE25-1,0))</f>
        <v>Commune MONTMELIAN</v>
      </c>
      <c r="BF26" s="1123" t="str">
        <f ca="1">IF(BF25="","",OFFSET(BaseDeDonnéesClients!B$3,RelevéHeuresChantiersParMois!BF25-1,0))</f>
        <v>Com ST PIERRE ALBIGNY</v>
      </c>
      <c r="BG26" s="1124" t="str">
        <f ca="1">IF(BG25="","",OFFSET(BaseDeDonnéesClients!B$3,RelevéHeuresChantiersParMois!BG25-1,0))</f>
        <v>Communauté Com</v>
      </c>
      <c r="BH26" s="1122" t="str">
        <f ca="1">IF(BH25="","",OFFSET(BaseDeDonnéesClients!B$3,RelevéHeuresChantiersParMois!BH25-1,0))</f>
        <v>Commune MONTMELIAN</v>
      </c>
      <c r="BI26" s="1123" t="str">
        <f ca="1">IF(BI25="","",OFFSET(BaseDeDonnéesClients!B$3,RelevéHeuresChantiersParMois!BI25-1,0))</f>
        <v>Com ST PIERRE ALBIGNY</v>
      </c>
      <c r="BJ26" s="1124" t="str">
        <f ca="1">IF(BJ25="","",OFFSET(BaseDeDonnéesClients!B$3,RelevéHeuresChantiersParMois!BJ25-1,0))</f>
        <v>Communauté Com</v>
      </c>
      <c r="BK26" s="1122" t="str">
        <f ca="1">IF(BK25="","",OFFSET(BaseDeDonnéesClients!B$3,RelevéHeuresChantiersParMois!BK25-1,0))</f>
        <v>Commune MONTMELIAN</v>
      </c>
      <c r="BL26" s="1123" t="str">
        <f ca="1">IF(BL25="","",OFFSET(BaseDeDonnéesClients!B$3,RelevéHeuresChantiersParMois!BL25-1,0))</f>
        <v>Com ST PIERRE ALBIGNY</v>
      </c>
      <c r="BM26" s="1124" t="str">
        <f ca="1">IF(BM25="","",OFFSET(BaseDeDonnéesClients!B$3,RelevéHeuresChantiersParMois!BM25-1,0))</f>
        <v>Communauté Com</v>
      </c>
      <c r="BN26" s="1122" t="str">
        <f ca="1">IF(BN25="","",OFFSET(BaseDeDonnéesClients!B$3,RelevéHeuresChantiersParMois!BN25-1,0))</f>
        <v/>
      </c>
      <c r="BO26" s="1123" t="str">
        <f ca="1">IF(BO25="","",OFFSET(BaseDeDonnéesClients!B$3,RelevéHeuresChantiersParMois!BO25-1,0))</f>
        <v/>
      </c>
      <c r="BP26" s="1124" t="str">
        <f ca="1">IF(BP25="","",OFFSET(BaseDeDonnéesClients!B$3,RelevéHeuresChantiersParMois!BP25-1,0))</f>
        <v/>
      </c>
      <c r="BQ26" s="1188"/>
    </row>
    <row r="27" spans="1:69" s="4" customFormat="1" ht="20.100000000000001" customHeight="1" thickBot="1">
      <c r="A27" s="1116">
        <v>1</v>
      </c>
      <c r="B27" s="1062" t="str">
        <f ca="1">IF(A27="","",OFFSET(BaseDeDonnéesSalariés!B$2,RelevéHeuresChantiersParMois!A27-1,0))</f>
        <v>BOISSELET Jean Loup</v>
      </c>
      <c r="C27" s="1063">
        <v>3.5</v>
      </c>
      <c r="D27" s="1064">
        <v>1</v>
      </c>
      <c r="E27" s="1065">
        <v>2</v>
      </c>
      <c r="F27" s="1066">
        <v>4</v>
      </c>
      <c r="G27" s="1064"/>
      <c r="H27" s="1066"/>
      <c r="I27" s="1063">
        <v>4</v>
      </c>
      <c r="J27" s="1064">
        <v>1</v>
      </c>
      <c r="K27" s="1065">
        <v>2</v>
      </c>
      <c r="L27" s="1067">
        <v>4</v>
      </c>
      <c r="M27" s="1064">
        <v>1</v>
      </c>
      <c r="N27" s="1068"/>
      <c r="O27" s="1069">
        <v>4</v>
      </c>
      <c r="P27" s="1064">
        <v>1</v>
      </c>
      <c r="Q27" s="1070">
        <v>2</v>
      </c>
      <c r="R27" s="1067">
        <v>4</v>
      </c>
      <c r="S27" s="1064">
        <v>1</v>
      </c>
      <c r="T27" s="1068">
        <v>2</v>
      </c>
      <c r="U27" s="1069">
        <v>4</v>
      </c>
      <c r="V27" s="1064">
        <v>1</v>
      </c>
      <c r="W27" s="1070">
        <v>2</v>
      </c>
      <c r="X27" s="1067">
        <v>4</v>
      </c>
      <c r="Y27" s="1064">
        <v>1</v>
      </c>
      <c r="Z27" s="1068">
        <v>2</v>
      </c>
      <c r="AA27" s="1069">
        <v>4</v>
      </c>
      <c r="AB27" s="1064">
        <v>1</v>
      </c>
      <c r="AC27" s="1070">
        <v>2</v>
      </c>
      <c r="AD27" s="1069">
        <v>4</v>
      </c>
      <c r="AE27" s="1064">
        <v>1</v>
      </c>
      <c r="AF27" s="1070">
        <v>2</v>
      </c>
      <c r="AG27" s="1069">
        <v>4</v>
      </c>
      <c r="AH27" s="1064">
        <v>1</v>
      </c>
      <c r="AI27" s="1070">
        <v>2</v>
      </c>
      <c r="AJ27" s="1067">
        <v>4</v>
      </c>
      <c r="AK27" s="1064">
        <v>1</v>
      </c>
      <c r="AL27" s="1068">
        <v>2</v>
      </c>
      <c r="AM27" s="1069">
        <v>4</v>
      </c>
      <c r="AN27" s="1064">
        <v>1</v>
      </c>
      <c r="AO27" s="1070">
        <v>2</v>
      </c>
      <c r="AP27" s="1067">
        <v>4</v>
      </c>
      <c r="AQ27" s="1064">
        <v>1</v>
      </c>
      <c r="AR27" s="1068">
        <v>2</v>
      </c>
      <c r="AS27" s="1069">
        <v>4</v>
      </c>
      <c r="AT27" s="1064">
        <v>1</v>
      </c>
      <c r="AU27" s="1070">
        <v>2</v>
      </c>
      <c r="AV27" s="1067">
        <v>4</v>
      </c>
      <c r="AW27" s="1064">
        <v>1</v>
      </c>
      <c r="AX27" s="1068">
        <v>2</v>
      </c>
      <c r="AY27" s="1069">
        <v>4</v>
      </c>
      <c r="AZ27" s="1064">
        <v>1</v>
      </c>
      <c r="BA27" s="1070">
        <v>2</v>
      </c>
      <c r="BB27" s="1067">
        <v>4</v>
      </c>
      <c r="BC27" s="1064">
        <v>1</v>
      </c>
      <c r="BD27" s="1068">
        <v>2</v>
      </c>
      <c r="BE27" s="1069">
        <v>4</v>
      </c>
      <c r="BF27" s="1064">
        <v>1</v>
      </c>
      <c r="BG27" s="1070">
        <v>2</v>
      </c>
      <c r="BH27" s="1067">
        <v>4</v>
      </c>
      <c r="BI27" s="1064">
        <v>1</v>
      </c>
      <c r="BJ27" s="1068">
        <v>2</v>
      </c>
      <c r="BK27" s="1069">
        <v>4</v>
      </c>
      <c r="BL27" s="1064">
        <v>1</v>
      </c>
      <c r="BM27" s="1070">
        <v>2</v>
      </c>
      <c r="BN27" s="1066"/>
      <c r="BO27" s="1064"/>
      <c r="BP27" s="1066"/>
      <c r="BQ27" s="1071">
        <f>SUM(C27:BP27)</f>
        <v>141.5</v>
      </c>
    </row>
    <row r="28" spans="1:69" s="4" customFormat="1" ht="20.100000000000001" customHeight="1" thickTop="1" thickBot="1">
      <c r="A28" s="1117">
        <v>2</v>
      </c>
      <c r="B28" s="1092" t="str">
        <f ca="1">IF(A28="","",OFFSET(BaseDeDonnéesSalariés!B$2,RelevéHeuresChantiersParMois!A28-1,0))</f>
        <v>BUEVOZ Eve</v>
      </c>
      <c r="C28" s="1093">
        <v>3.5</v>
      </c>
      <c r="D28" s="1094">
        <v>1</v>
      </c>
      <c r="E28" s="1095">
        <v>2</v>
      </c>
      <c r="F28" s="1096">
        <v>4</v>
      </c>
      <c r="G28" s="1094"/>
      <c r="H28" s="1096"/>
      <c r="I28" s="1093">
        <v>4</v>
      </c>
      <c r="J28" s="1094">
        <v>1</v>
      </c>
      <c r="K28" s="1095">
        <v>2</v>
      </c>
      <c r="L28" s="1097">
        <v>4</v>
      </c>
      <c r="M28" s="1094">
        <v>1</v>
      </c>
      <c r="N28" s="1098"/>
      <c r="O28" s="1099">
        <v>4</v>
      </c>
      <c r="P28" s="1094">
        <v>1</v>
      </c>
      <c r="Q28" s="1100">
        <v>2</v>
      </c>
      <c r="R28" s="1097">
        <v>4</v>
      </c>
      <c r="S28" s="1094">
        <v>1</v>
      </c>
      <c r="T28" s="1098">
        <v>2</v>
      </c>
      <c r="U28" s="1099">
        <v>4</v>
      </c>
      <c r="V28" s="1094">
        <v>1</v>
      </c>
      <c r="W28" s="1100">
        <v>2</v>
      </c>
      <c r="X28" s="1097">
        <v>4</v>
      </c>
      <c r="Y28" s="1094">
        <v>1</v>
      </c>
      <c r="Z28" s="1098">
        <v>2</v>
      </c>
      <c r="AA28" s="1099">
        <v>4</v>
      </c>
      <c r="AB28" s="1094">
        <v>1</v>
      </c>
      <c r="AC28" s="1100">
        <v>2</v>
      </c>
      <c r="AD28" s="1099">
        <v>4</v>
      </c>
      <c r="AE28" s="1094">
        <v>1</v>
      </c>
      <c r="AF28" s="1100">
        <v>2</v>
      </c>
      <c r="AG28" s="1099">
        <v>4</v>
      </c>
      <c r="AH28" s="1094">
        <v>1</v>
      </c>
      <c r="AI28" s="1100">
        <v>2</v>
      </c>
      <c r="AJ28" s="1097">
        <v>4</v>
      </c>
      <c r="AK28" s="1094">
        <v>1</v>
      </c>
      <c r="AL28" s="1098">
        <v>2</v>
      </c>
      <c r="AM28" s="1099">
        <v>4</v>
      </c>
      <c r="AN28" s="1094">
        <v>1</v>
      </c>
      <c r="AO28" s="1100">
        <v>2</v>
      </c>
      <c r="AP28" s="1097">
        <v>4</v>
      </c>
      <c r="AQ28" s="1094">
        <v>1</v>
      </c>
      <c r="AR28" s="1098">
        <v>2</v>
      </c>
      <c r="AS28" s="1099">
        <v>4</v>
      </c>
      <c r="AT28" s="1094">
        <v>1</v>
      </c>
      <c r="AU28" s="1100">
        <v>2</v>
      </c>
      <c r="AV28" s="1097">
        <v>4</v>
      </c>
      <c r="AW28" s="1094">
        <v>1</v>
      </c>
      <c r="AX28" s="1098">
        <v>2</v>
      </c>
      <c r="AY28" s="1099">
        <v>4</v>
      </c>
      <c r="AZ28" s="1094">
        <v>1</v>
      </c>
      <c r="BA28" s="1100">
        <v>2</v>
      </c>
      <c r="BB28" s="1097">
        <v>4</v>
      </c>
      <c r="BC28" s="1094">
        <v>1</v>
      </c>
      <c r="BD28" s="1098">
        <v>2</v>
      </c>
      <c r="BE28" s="1099">
        <v>4</v>
      </c>
      <c r="BF28" s="1094">
        <v>1</v>
      </c>
      <c r="BG28" s="1100">
        <v>2</v>
      </c>
      <c r="BH28" s="1097">
        <v>4</v>
      </c>
      <c r="BI28" s="1094">
        <v>1</v>
      </c>
      <c r="BJ28" s="1098">
        <v>2</v>
      </c>
      <c r="BK28" s="1099">
        <v>4</v>
      </c>
      <c r="BL28" s="1094">
        <v>1</v>
      </c>
      <c r="BM28" s="1100">
        <v>2</v>
      </c>
      <c r="BN28" s="1096"/>
      <c r="BO28" s="1094"/>
      <c r="BP28" s="1096"/>
      <c r="BQ28" s="1101">
        <f t="shared" ref="BQ28:BQ45" si="2">SUM(C28:BP28)</f>
        <v>141.5</v>
      </c>
    </row>
    <row r="29" spans="1:69" ht="20.100000000000001" customHeight="1" thickTop="1" thickBot="1">
      <c r="A29" s="1118">
        <v>3</v>
      </c>
      <c r="B29" s="1072" t="str">
        <f ca="1">IF(A29="","",OFFSET(BaseDeDonnéesSalariés!B$2,RelevéHeuresChantiersParMois!A29-1,0))</f>
        <v>CHALAND Christine</v>
      </c>
      <c r="C29" s="1073">
        <v>3.5</v>
      </c>
      <c r="D29" s="1074">
        <v>1</v>
      </c>
      <c r="E29" s="1075">
        <v>2</v>
      </c>
      <c r="F29" s="1076">
        <v>4</v>
      </c>
      <c r="G29" s="1074"/>
      <c r="H29" s="1076"/>
      <c r="I29" s="1073">
        <v>4</v>
      </c>
      <c r="J29" s="1074">
        <v>1</v>
      </c>
      <c r="K29" s="1075">
        <v>2</v>
      </c>
      <c r="L29" s="1077">
        <v>4</v>
      </c>
      <c r="M29" s="1074">
        <v>1</v>
      </c>
      <c r="N29" s="1078"/>
      <c r="O29" s="1079">
        <v>4</v>
      </c>
      <c r="P29" s="1074">
        <v>1</v>
      </c>
      <c r="Q29" s="1080">
        <v>2</v>
      </c>
      <c r="R29" s="1077">
        <v>4</v>
      </c>
      <c r="S29" s="1074">
        <v>1</v>
      </c>
      <c r="T29" s="1078">
        <v>2</v>
      </c>
      <c r="U29" s="1079">
        <v>4</v>
      </c>
      <c r="V29" s="1074">
        <v>1</v>
      </c>
      <c r="W29" s="1080">
        <v>2</v>
      </c>
      <c r="X29" s="1077">
        <v>4</v>
      </c>
      <c r="Y29" s="1074">
        <v>1</v>
      </c>
      <c r="Z29" s="1078">
        <v>2</v>
      </c>
      <c r="AA29" s="1079">
        <v>4</v>
      </c>
      <c r="AB29" s="1074">
        <v>1</v>
      </c>
      <c r="AC29" s="1080">
        <v>2</v>
      </c>
      <c r="AD29" s="1079">
        <v>4</v>
      </c>
      <c r="AE29" s="1074">
        <v>1</v>
      </c>
      <c r="AF29" s="1080">
        <v>2</v>
      </c>
      <c r="AG29" s="1079">
        <v>4</v>
      </c>
      <c r="AH29" s="1074">
        <v>1</v>
      </c>
      <c r="AI29" s="1080">
        <v>2</v>
      </c>
      <c r="AJ29" s="1077">
        <v>4</v>
      </c>
      <c r="AK29" s="1074">
        <v>1</v>
      </c>
      <c r="AL29" s="1078">
        <v>2</v>
      </c>
      <c r="AM29" s="1079">
        <v>4</v>
      </c>
      <c r="AN29" s="1074">
        <v>1</v>
      </c>
      <c r="AO29" s="1080">
        <v>2</v>
      </c>
      <c r="AP29" s="1077">
        <v>4</v>
      </c>
      <c r="AQ29" s="1074">
        <v>1</v>
      </c>
      <c r="AR29" s="1078">
        <v>2</v>
      </c>
      <c r="AS29" s="1079">
        <v>4</v>
      </c>
      <c r="AT29" s="1074">
        <v>1</v>
      </c>
      <c r="AU29" s="1080">
        <v>2</v>
      </c>
      <c r="AV29" s="1077">
        <v>4</v>
      </c>
      <c r="AW29" s="1074">
        <v>1</v>
      </c>
      <c r="AX29" s="1078">
        <v>2</v>
      </c>
      <c r="AY29" s="1079">
        <v>4</v>
      </c>
      <c r="AZ29" s="1074">
        <v>1</v>
      </c>
      <c r="BA29" s="1080">
        <v>2</v>
      </c>
      <c r="BB29" s="1077">
        <v>4</v>
      </c>
      <c r="BC29" s="1074">
        <v>1</v>
      </c>
      <c r="BD29" s="1078">
        <v>2</v>
      </c>
      <c r="BE29" s="1079">
        <v>4</v>
      </c>
      <c r="BF29" s="1074">
        <v>1</v>
      </c>
      <c r="BG29" s="1080">
        <v>2</v>
      </c>
      <c r="BH29" s="1077">
        <v>4</v>
      </c>
      <c r="BI29" s="1074">
        <v>1</v>
      </c>
      <c r="BJ29" s="1078">
        <v>2</v>
      </c>
      <c r="BK29" s="1079">
        <v>4</v>
      </c>
      <c r="BL29" s="1074">
        <v>1</v>
      </c>
      <c r="BM29" s="1080">
        <v>2</v>
      </c>
      <c r="BN29" s="1076"/>
      <c r="BO29" s="1074"/>
      <c r="BP29" s="1076"/>
      <c r="BQ29" s="1081">
        <f t="shared" si="2"/>
        <v>141.5</v>
      </c>
    </row>
    <row r="30" spans="1:69" ht="20.100000000000001" customHeight="1" thickTop="1" thickBot="1">
      <c r="A30" s="1117">
        <v>4</v>
      </c>
      <c r="B30" s="1092" t="str">
        <f ca="1">IF(A30="","",OFFSET(BaseDeDonnéesSalariés!B$2,RelevéHeuresChantiersParMois!A30-1,0))</f>
        <v>CHASSANDE Michel</v>
      </c>
      <c r="C30" s="1093">
        <v>3.5</v>
      </c>
      <c r="D30" s="1094">
        <v>1</v>
      </c>
      <c r="E30" s="1095">
        <v>2</v>
      </c>
      <c r="F30" s="1096">
        <v>4</v>
      </c>
      <c r="G30" s="1094"/>
      <c r="H30" s="1096"/>
      <c r="I30" s="1093">
        <v>4</v>
      </c>
      <c r="J30" s="1094">
        <v>1</v>
      </c>
      <c r="K30" s="1095">
        <v>2</v>
      </c>
      <c r="L30" s="1097">
        <v>4</v>
      </c>
      <c r="M30" s="1094">
        <v>1</v>
      </c>
      <c r="N30" s="1098"/>
      <c r="O30" s="1099">
        <v>4</v>
      </c>
      <c r="P30" s="1094">
        <v>1</v>
      </c>
      <c r="Q30" s="1100">
        <v>2</v>
      </c>
      <c r="R30" s="1097">
        <v>4</v>
      </c>
      <c r="S30" s="1094">
        <v>1</v>
      </c>
      <c r="T30" s="1098">
        <v>2</v>
      </c>
      <c r="U30" s="1099">
        <v>4</v>
      </c>
      <c r="V30" s="1094">
        <v>1</v>
      </c>
      <c r="W30" s="1100">
        <v>2</v>
      </c>
      <c r="X30" s="1097">
        <v>4</v>
      </c>
      <c r="Y30" s="1094">
        <v>1</v>
      </c>
      <c r="Z30" s="1098">
        <v>2</v>
      </c>
      <c r="AA30" s="1099">
        <v>4</v>
      </c>
      <c r="AB30" s="1094">
        <v>1</v>
      </c>
      <c r="AC30" s="1100">
        <v>2</v>
      </c>
      <c r="AD30" s="1099">
        <v>4</v>
      </c>
      <c r="AE30" s="1094">
        <v>1</v>
      </c>
      <c r="AF30" s="1100">
        <v>2</v>
      </c>
      <c r="AG30" s="1099">
        <v>4</v>
      </c>
      <c r="AH30" s="1094">
        <v>1</v>
      </c>
      <c r="AI30" s="1100">
        <v>2</v>
      </c>
      <c r="AJ30" s="1097">
        <v>4</v>
      </c>
      <c r="AK30" s="1094">
        <v>1</v>
      </c>
      <c r="AL30" s="1098">
        <v>2</v>
      </c>
      <c r="AM30" s="1099">
        <v>4</v>
      </c>
      <c r="AN30" s="1094">
        <v>1</v>
      </c>
      <c r="AO30" s="1100">
        <v>2</v>
      </c>
      <c r="AP30" s="1097">
        <v>4</v>
      </c>
      <c r="AQ30" s="1094">
        <v>1</v>
      </c>
      <c r="AR30" s="1098">
        <v>2</v>
      </c>
      <c r="AS30" s="1099">
        <v>4</v>
      </c>
      <c r="AT30" s="1094">
        <v>1</v>
      </c>
      <c r="AU30" s="1100">
        <v>2</v>
      </c>
      <c r="AV30" s="1097">
        <v>4</v>
      </c>
      <c r="AW30" s="1094">
        <v>1</v>
      </c>
      <c r="AX30" s="1098">
        <v>2</v>
      </c>
      <c r="AY30" s="1099">
        <v>4</v>
      </c>
      <c r="AZ30" s="1094">
        <v>1</v>
      </c>
      <c r="BA30" s="1100">
        <v>2</v>
      </c>
      <c r="BB30" s="1097">
        <v>4</v>
      </c>
      <c r="BC30" s="1094">
        <v>1</v>
      </c>
      <c r="BD30" s="1098">
        <v>2</v>
      </c>
      <c r="BE30" s="1099">
        <v>4</v>
      </c>
      <c r="BF30" s="1094">
        <v>1</v>
      </c>
      <c r="BG30" s="1100">
        <v>2</v>
      </c>
      <c r="BH30" s="1097">
        <v>4</v>
      </c>
      <c r="BI30" s="1094">
        <v>1</v>
      </c>
      <c r="BJ30" s="1098">
        <v>2</v>
      </c>
      <c r="BK30" s="1099">
        <v>4</v>
      </c>
      <c r="BL30" s="1094">
        <v>1</v>
      </c>
      <c r="BM30" s="1100">
        <v>2</v>
      </c>
      <c r="BN30" s="1096"/>
      <c r="BO30" s="1094"/>
      <c r="BP30" s="1096"/>
      <c r="BQ30" s="1101">
        <f t="shared" si="2"/>
        <v>141.5</v>
      </c>
    </row>
    <row r="31" spans="1:69" ht="20.100000000000001" customHeight="1" thickTop="1" thickBot="1">
      <c r="A31" s="1118">
        <v>5</v>
      </c>
      <c r="B31" s="1072" t="str">
        <f ca="1">IF(A31="","",OFFSET(BaseDeDonnéesSalariés!B$2,RelevéHeuresChantiersParMois!A31-1,0))</f>
        <v>DEVERCHERE Anne</v>
      </c>
      <c r="C31" s="1073">
        <v>3.5</v>
      </c>
      <c r="D31" s="1074">
        <v>1</v>
      </c>
      <c r="E31" s="1075">
        <v>2</v>
      </c>
      <c r="F31" s="1076">
        <v>4</v>
      </c>
      <c r="G31" s="1074"/>
      <c r="H31" s="1076"/>
      <c r="I31" s="1073">
        <v>4</v>
      </c>
      <c r="J31" s="1074">
        <v>1</v>
      </c>
      <c r="K31" s="1075">
        <v>2</v>
      </c>
      <c r="L31" s="1077">
        <v>4</v>
      </c>
      <c r="M31" s="1074">
        <v>1</v>
      </c>
      <c r="N31" s="1078"/>
      <c r="O31" s="1079">
        <v>4</v>
      </c>
      <c r="P31" s="1074">
        <v>1</v>
      </c>
      <c r="Q31" s="1080">
        <v>2</v>
      </c>
      <c r="R31" s="1077">
        <v>4</v>
      </c>
      <c r="S31" s="1074">
        <v>1</v>
      </c>
      <c r="T31" s="1078">
        <v>2</v>
      </c>
      <c r="U31" s="1079">
        <v>4</v>
      </c>
      <c r="V31" s="1074">
        <v>1</v>
      </c>
      <c r="W31" s="1080">
        <v>2</v>
      </c>
      <c r="X31" s="1077">
        <v>4</v>
      </c>
      <c r="Y31" s="1074">
        <v>1</v>
      </c>
      <c r="Z31" s="1078">
        <v>2</v>
      </c>
      <c r="AA31" s="1079">
        <v>4</v>
      </c>
      <c r="AB31" s="1074">
        <v>1</v>
      </c>
      <c r="AC31" s="1080">
        <v>2</v>
      </c>
      <c r="AD31" s="1079">
        <v>4</v>
      </c>
      <c r="AE31" s="1074">
        <v>1</v>
      </c>
      <c r="AF31" s="1080">
        <v>2</v>
      </c>
      <c r="AG31" s="1079">
        <v>4</v>
      </c>
      <c r="AH31" s="1074">
        <v>1</v>
      </c>
      <c r="AI31" s="1080">
        <v>2</v>
      </c>
      <c r="AJ31" s="1077">
        <v>4</v>
      </c>
      <c r="AK31" s="1074">
        <v>1</v>
      </c>
      <c r="AL31" s="1078">
        <v>2</v>
      </c>
      <c r="AM31" s="1079">
        <v>4</v>
      </c>
      <c r="AN31" s="1074">
        <v>1</v>
      </c>
      <c r="AO31" s="1080">
        <v>2</v>
      </c>
      <c r="AP31" s="1077">
        <v>4</v>
      </c>
      <c r="AQ31" s="1074">
        <v>1</v>
      </c>
      <c r="AR31" s="1078">
        <v>2</v>
      </c>
      <c r="AS31" s="1079">
        <v>4</v>
      </c>
      <c r="AT31" s="1074">
        <v>1</v>
      </c>
      <c r="AU31" s="1080">
        <v>2</v>
      </c>
      <c r="AV31" s="1077">
        <v>4</v>
      </c>
      <c r="AW31" s="1074">
        <v>1</v>
      </c>
      <c r="AX31" s="1078">
        <v>2</v>
      </c>
      <c r="AY31" s="1079">
        <v>4</v>
      </c>
      <c r="AZ31" s="1074">
        <v>1</v>
      </c>
      <c r="BA31" s="1080">
        <v>2</v>
      </c>
      <c r="BB31" s="1077">
        <v>4</v>
      </c>
      <c r="BC31" s="1074">
        <v>1</v>
      </c>
      <c r="BD31" s="1078">
        <v>2</v>
      </c>
      <c r="BE31" s="1079">
        <v>4</v>
      </c>
      <c r="BF31" s="1074">
        <v>1</v>
      </c>
      <c r="BG31" s="1080">
        <v>2</v>
      </c>
      <c r="BH31" s="1077">
        <v>4</v>
      </c>
      <c r="BI31" s="1074">
        <v>1</v>
      </c>
      <c r="BJ31" s="1078">
        <v>2</v>
      </c>
      <c r="BK31" s="1079">
        <v>4</v>
      </c>
      <c r="BL31" s="1074">
        <v>1</v>
      </c>
      <c r="BM31" s="1080">
        <v>2</v>
      </c>
      <c r="BN31" s="1076"/>
      <c r="BO31" s="1074"/>
      <c r="BP31" s="1076"/>
      <c r="BQ31" s="1081">
        <f t="shared" si="2"/>
        <v>141.5</v>
      </c>
    </row>
    <row r="32" spans="1:69" ht="20.100000000000001" customHeight="1" thickTop="1" thickBot="1">
      <c r="A32" s="1117">
        <v>6</v>
      </c>
      <c r="B32" s="1092" t="str">
        <f ca="1">IF(A32="","",OFFSET(BaseDeDonnéesSalariés!B$2,RelevéHeuresChantiersParMois!A32-1,0))</f>
        <v>DUPOND Geneviève</v>
      </c>
      <c r="C32" s="1093">
        <v>3.5</v>
      </c>
      <c r="D32" s="1094">
        <v>1</v>
      </c>
      <c r="E32" s="1095">
        <v>2</v>
      </c>
      <c r="F32" s="1096">
        <v>4</v>
      </c>
      <c r="G32" s="1094"/>
      <c r="H32" s="1096"/>
      <c r="I32" s="1093">
        <v>4</v>
      </c>
      <c r="J32" s="1094">
        <v>1</v>
      </c>
      <c r="K32" s="1095">
        <v>2</v>
      </c>
      <c r="L32" s="1097">
        <v>4</v>
      </c>
      <c r="M32" s="1094">
        <v>1</v>
      </c>
      <c r="N32" s="1098"/>
      <c r="O32" s="1099">
        <v>4</v>
      </c>
      <c r="P32" s="1094">
        <v>1</v>
      </c>
      <c r="Q32" s="1100">
        <v>2</v>
      </c>
      <c r="R32" s="1097">
        <v>4</v>
      </c>
      <c r="S32" s="1094">
        <v>1</v>
      </c>
      <c r="T32" s="1098">
        <v>2</v>
      </c>
      <c r="U32" s="1099">
        <v>4</v>
      </c>
      <c r="V32" s="1094">
        <v>1</v>
      </c>
      <c r="W32" s="1100">
        <v>2</v>
      </c>
      <c r="X32" s="1097">
        <v>4</v>
      </c>
      <c r="Y32" s="1094">
        <v>1</v>
      </c>
      <c r="Z32" s="1098">
        <v>2</v>
      </c>
      <c r="AA32" s="1099">
        <v>4</v>
      </c>
      <c r="AB32" s="1094">
        <v>1</v>
      </c>
      <c r="AC32" s="1100">
        <v>2</v>
      </c>
      <c r="AD32" s="1099">
        <v>4</v>
      </c>
      <c r="AE32" s="1094">
        <v>1</v>
      </c>
      <c r="AF32" s="1100">
        <v>2</v>
      </c>
      <c r="AG32" s="1099">
        <v>4</v>
      </c>
      <c r="AH32" s="1094">
        <v>1</v>
      </c>
      <c r="AI32" s="1100">
        <v>2</v>
      </c>
      <c r="AJ32" s="1097">
        <v>4</v>
      </c>
      <c r="AK32" s="1094">
        <v>1</v>
      </c>
      <c r="AL32" s="1098">
        <v>2</v>
      </c>
      <c r="AM32" s="1099">
        <v>4</v>
      </c>
      <c r="AN32" s="1094">
        <v>1</v>
      </c>
      <c r="AO32" s="1100">
        <v>2</v>
      </c>
      <c r="AP32" s="1097">
        <v>4</v>
      </c>
      <c r="AQ32" s="1094">
        <v>1</v>
      </c>
      <c r="AR32" s="1098">
        <v>2</v>
      </c>
      <c r="AS32" s="1099">
        <v>4</v>
      </c>
      <c r="AT32" s="1094">
        <v>1</v>
      </c>
      <c r="AU32" s="1100">
        <v>2</v>
      </c>
      <c r="AV32" s="1097">
        <v>4</v>
      </c>
      <c r="AW32" s="1094">
        <v>1</v>
      </c>
      <c r="AX32" s="1098">
        <v>2</v>
      </c>
      <c r="AY32" s="1099">
        <v>4</v>
      </c>
      <c r="AZ32" s="1094">
        <v>1</v>
      </c>
      <c r="BA32" s="1100">
        <v>2</v>
      </c>
      <c r="BB32" s="1097">
        <v>4</v>
      </c>
      <c r="BC32" s="1094">
        <v>1</v>
      </c>
      <c r="BD32" s="1098">
        <v>2</v>
      </c>
      <c r="BE32" s="1099">
        <v>4</v>
      </c>
      <c r="BF32" s="1094">
        <v>1</v>
      </c>
      <c r="BG32" s="1100">
        <v>2</v>
      </c>
      <c r="BH32" s="1097">
        <v>4</v>
      </c>
      <c r="BI32" s="1094">
        <v>1</v>
      </c>
      <c r="BJ32" s="1098">
        <v>2</v>
      </c>
      <c r="BK32" s="1099">
        <v>4</v>
      </c>
      <c r="BL32" s="1094">
        <v>1</v>
      </c>
      <c r="BM32" s="1100">
        <v>2</v>
      </c>
      <c r="BN32" s="1096"/>
      <c r="BO32" s="1094"/>
      <c r="BP32" s="1096"/>
      <c r="BQ32" s="1101">
        <f t="shared" si="2"/>
        <v>141.5</v>
      </c>
    </row>
    <row r="33" spans="1:69" ht="20.100000000000001" customHeight="1" thickTop="1" thickBot="1">
      <c r="A33" s="1118">
        <v>7</v>
      </c>
      <c r="B33" s="1072" t="str">
        <f ca="1">IF(A33="","",OFFSET(BaseDeDonnéesSalariés!B$2,RelevéHeuresChantiersParMois!A33-1,0))</f>
        <v>ESCULIER Claire</v>
      </c>
      <c r="C33" s="1073">
        <v>3.5</v>
      </c>
      <c r="D33" s="1074">
        <v>1</v>
      </c>
      <c r="E33" s="1075">
        <v>2</v>
      </c>
      <c r="F33" s="1076">
        <v>4</v>
      </c>
      <c r="G33" s="1074"/>
      <c r="H33" s="1076"/>
      <c r="I33" s="1073">
        <v>4</v>
      </c>
      <c r="J33" s="1074">
        <v>1</v>
      </c>
      <c r="K33" s="1075">
        <v>2</v>
      </c>
      <c r="L33" s="1077">
        <v>4</v>
      </c>
      <c r="M33" s="1074">
        <v>1</v>
      </c>
      <c r="N33" s="1078"/>
      <c r="O33" s="1079">
        <v>4</v>
      </c>
      <c r="P33" s="1074">
        <v>1</v>
      </c>
      <c r="Q33" s="1080">
        <v>2</v>
      </c>
      <c r="R33" s="1077">
        <v>4</v>
      </c>
      <c r="S33" s="1074">
        <v>1</v>
      </c>
      <c r="T33" s="1078">
        <v>2</v>
      </c>
      <c r="U33" s="1079">
        <v>4</v>
      </c>
      <c r="V33" s="1074">
        <v>1</v>
      </c>
      <c r="W33" s="1080">
        <v>2</v>
      </c>
      <c r="X33" s="1077">
        <v>4</v>
      </c>
      <c r="Y33" s="1074">
        <v>1</v>
      </c>
      <c r="Z33" s="1078">
        <v>2</v>
      </c>
      <c r="AA33" s="1079">
        <v>4</v>
      </c>
      <c r="AB33" s="1074">
        <v>1</v>
      </c>
      <c r="AC33" s="1080">
        <v>2</v>
      </c>
      <c r="AD33" s="1079">
        <v>4</v>
      </c>
      <c r="AE33" s="1074">
        <v>1</v>
      </c>
      <c r="AF33" s="1080">
        <v>2</v>
      </c>
      <c r="AG33" s="1079">
        <v>4</v>
      </c>
      <c r="AH33" s="1074">
        <v>1</v>
      </c>
      <c r="AI33" s="1080">
        <v>2</v>
      </c>
      <c r="AJ33" s="1077">
        <v>4</v>
      </c>
      <c r="AK33" s="1074">
        <v>1</v>
      </c>
      <c r="AL33" s="1078">
        <v>2</v>
      </c>
      <c r="AM33" s="1079">
        <v>4</v>
      </c>
      <c r="AN33" s="1074">
        <v>1</v>
      </c>
      <c r="AO33" s="1080">
        <v>2</v>
      </c>
      <c r="AP33" s="1077">
        <v>4</v>
      </c>
      <c r="AQ33" s="1074">
        <v>1</v>
      </c>
      <c r="AR33" s="1078">
        <v>2</v>
      </c>
      <c r="AS33" s="1079">
        <v>4</v>
      </c>
      <c r="AT33" s="1074">
        <v>1</v>
      </c>
      <c r="AU33" s="1080">
        <v>2</v>
      </c>
      <c r="AV33" s="1077">
        <v>4</v>
      </c>
      <c r="AW33" s="1074">
        <v>1</v>
      </c>
      <c r="AX33" s="1078">
        <v>2</v>
      </c>
      <c r="AY33" s="1079">
        <v>4</v>
      </c>
      <c r="AZ33" s="1074">
        <v>1</v>
      </c>
      <c r="BA33" s="1080">
        <v>2</v>
      </c>
      <c r="BB33" s="1077">
        <v>4</v>
      </c>
      <c r="BC33" s="1074">
        <v>1</v>
      </c>
      <c r="BD33" s="1078">
        <v>2</v>
      </c>
      <c r="BE33" s="1079">
        <v>4</v>
      </c>
      <c r="BF33" s="1074">
        <v>1</v>
      </c>
      <c r="BG33" s="1080">
        <v>2</v>
      </c>
      <c r="BH33" s="1077">
        <v>4</v>
      </c>
      <c r="BI33" s="1074">
        <v>1</v>
      </c>
      <c r="BJ33" s="1078">
        <v>2</v>
      </c>
      <c r="BK33" s="1079">
        <v>4</v>
      </c>
      <c r="BL33" s="1074">
        <v>1</v>
      </c>
      <c r="BM33" s="1080">
        <v>2</v>
      </c>
      <c r="BN33" s="1076"/>
      <c r="BO33" s="1074"/>
      <c r="BP33" s="1076"/>
      <c r="BQ33" s="1081">
        <f t="shared" si="2"/>
        <v>141.5</v>
      </c>
    </row>
    <row r="34" spans="1:69" ht="20.100000000000001" customHeight="1" thickTop="1" thickBot="1">
      <c r="A34" s="1117">
        <v>8</v>
      </c>
      <c r="B34" s="1092" t="str">
        <f ca="1">IF(A34="","",OFFSET(BaseDeDonnéesSalariés!B$2,RelevéHeuresChantiersParMois!A34-1,0))</f>
        <v>FREYTAG Marie-Paule</v>
      </c>
      <c r="C34" s="1093">
        <v>3.5</v>
      </c>
      <c r="D34" s="1094">
        <v>1</v>
      </c>
      <c r="E34" s="1095">
        <v>2</v>
      </c>
      <c r="F34" s="1096">
        <v>4</v>
      </c>
      <c r="G34" s="1094"/>
      <c r="H34" s="1096"/>
      <c r="I34" s="1093">
        <v>4</v>
      </c>
      <c r="J34" s="1094">
        <v>1</v>
      </c>
      <c r="K34" s="1095">
        <v>2</v>
      </c>
      <c r="L34" s="1097">
        <v>4</v>
      </c>
      <c r="M34" s="1094">
        <v>1</v>
      </c>
      <c r="N34" s="1098"/>
      <c r="O34" s="1099">
        <v>4</v>
      </c>
      <c r="P34" s="1094">
        <v>1</v>
      </c>
      <c r="Q34" s="1100">
        <v>2</v>
      </c>
      <c r="R34" s="1097">
        <v>4</v>
      </c>
      <c r="S34" s="1094">
        <v>1</v>
      </c>
      <c r="T34" s="1098">
        <v>2</v>
      </c>
      <c r="U34" s="1099">
        <v>4</v>
      </c>
      <c r="V34" s="1094">
        <v>1</v>
      </c>
      <c r="W34" s="1100">
        <v>2</v>
      </c>
      <c r="X34" s="1097">
        <v>4</v>
      </c>
      <c r="Y34" s="1094">
        <v>1</v>
      </c>
      <c r="Z34" s="1098">
        <v>2</v>
      </c>
      <c r="AA34" s="1099">
        <v>4</v>
      </c>
      <c r="AB34" s="1094">
        <v>1</v>
      </c>
      <c r="AC34" s="1100">
        <v>2</v>
      </c>
      <c r="AD34" s="1099">
        <v>4</v>
      </c>
      <c r="AE34" s="1094">
        <v>1</v>
      </c>
      <c r="AF34" s="1100">
        <v>2</v>
      </c>
      <c r="AG34" s="1099">
        <v>4</v>
      </c>
      <c r="AH34" s="1094">
        <v>1</v>
      </c>
      <c r="AI34" s="1100">
        <v>2</v>
      </c>
      <c r="AJ34" s="1097">
        <v>4</v>
      </c>
      <c r="AK34" s="1094">
        <v>1</v>
      </c>
      <c r="AL34" s="1098">
        <v>2</v>
      </c>
      <c r="AM34" s="1099">
        <v>4</v>
      </c>
      <c r="AN34" s="1094">
        <v>1</v>
      </c>
      <c r="AO34" s="1100">
        <v>2</v>
      </c>
      <c r="AP34" s="1097">
        <v>4</v>
      </c>
      <c r="AQ34" s="1094">
        <v>1</v>
      </c>
      <c r="AR34" s="1098">
        <v>2</v>
      </c>
      <c r="AS34" s="1099">
        <v>4</v>
      </c>
      <c r="AT34" s="1094">
        <v>1</v>
      </c>
      <c r="AU34" s="1100">
        <v>2</v>
      </c>
      <c r="AV34" s="1097">
        <v>4</v>
      </c>
      <c r="AW34" s="1094">
        <v>1</v>
      </c>
      <c r="AX34" s="1098">
        <v>2</v>
      </c>
      <c r="AY34" s="1099">
        <v>4</v>
      </c>
      <c r="AZ34" s="1094">
        <v>1</v>
      </c>
      <c r="BA34" s="1100">
        <v>2</v>
      </c>
      <c r="BB34" s="1097">
        <v>4</v>
      </c>
      <c r="BC34" s="1094">
        <v>1</v>
      </c>
      <c r="BD34" s="1098">
        <v>2</v>
      </c>
      <c r="BE34" s="1099">
        <v>4</v>
      </c>
      <c r="BF34" s="1094">
        <v>1</v>
      </c>
      <c r="BG34" s="1100">
        <v>2</v>
      </c>
      <c r="BH34" s="1097">
        <v>4</v>
      </c>
      <c r="BI34" s="1094">
        <v>1</v>
      </c>
      <c r="BJ34" s="1098">
        <v>2</v>
      </c>
      <c r="BK34" s="1099">
        <v>4</v>
      </c>
      <c r="BL34" s="1094">
        <v>1</v>
      </c>
      <c r="BM34" s="1100">
        <v>2</v>
      </c>
      <c r="BN34" s="1096"/>
      <c r="BO34" s="1094"/>
      <c r="BP34" s="1096"/>
      <c r="BQ34" s="1101">
        <f t="shared" si="2"/>
        <v>141.5</v>
      </c>
    </row>
    <row r="35" spans="1:69" ht="20.100000000000001" customHeight="1" thickTop="1" thickBot="1">
      <c r="A35" s="1118">
        <v>9</v>
      </c>
      <c r="B35" s="1072" t="str">
        <f ca="1">IF(A35="","",OFFSET(BaseDeDonnéesSalariés!B$2,RelevéHeuresChantiersParMois!A35-1,0))</f>
        <v>GOFFIC Gilles</v>
      </c>
      <c r="C35" s="1073">
        <v>3.5</v>
      </c>
      <c r="D35" s="1074">
        <v>1</v>
      </c>
      <c r="E35" s="1075">
        <v>2</v>
      </c>
      <c r="F35" s="1076">
        <v>4</v>
      </c>
      <c r="G35" s="1074"/>
      <c r="H35" s="1076"/>
      <c r="I35" s="1073">
        <v>4</v>
      </c>
      <c r="J35" s="1074">
        <v>1</v>
      </c>
      <c r="K35" s="1075">
        <v>2</v>
      </c>
      <c r="L35" s="1077">
        <v>4</v>
      </c>
      <c r="M35" s="1074">
        <v>1</v>
      </c>
      <c r="N35" s="1078"/>
      <c r="O35" s="1079">
        <v>4</v>
      </c>
      <c r="P35" s="1074">
        <v>1</v>
      </c>
      <c r="Q35" s="1080">
        <v>2</v>
      </c>
      <c r="R35" s="1077">
        <v>4</v>
      </c>
      <c r="S35" s="1074">
        <v>1</v>
      </c>
      <c r="T35" s="1078">
        <v>2</v>
      </c>
      <c r="U35" s="1079">
        <v>4</v>
      </c>
      <c r="V35" s="1074">
        <v>1</v>
      </c>
      <c r="W35" s="1080">
        <v>2</v>
      </c>
      <c r="X35" s="1077">
        <v>4</v>
      </c>
      <c r="Y35" s="1074">
        <v>1</v>
      </c>
      <c r="Z35" s="1078">
        <v>2</v>
      </c>
      <c r="AA35" s="1079">
        <v>4</v>
      </c>
      <c r="AB35" s="1074">
        <v>1</v>
      </c>
      <c r="AC35" s="1080">
        <v>2</v>
      </c>
      <c r="AD35" s="1079">
        <v>4</v>
      </c>
      <c r="AE35" s="1074">
        <v>1</v>
      </c>
      <c r="AF35" s="1080">
        <v>2</v>
      </c>
      <c r="AG35" s="1079">
        <v>4</v>
      </c>
      <c r="AH35" s="1074">
        <v>1</v>
      </c>
      <c r="AI35" s="1080">
        <v>2</v>
      </c>
      <c r="AJ35" s="1077">
        <v>4</v>
      </c>
      <c r="AK35" s="1074">
        <v>1</v>
      </c>
      <c r="AL35" s="1078">
        <v>2</v>
      </c>
      <c r="AM35" s="1079">
        <v>4</v>
      </c>
      <c r="AN35" s="1074">
        <v>1</v>
      </c>
      <c r="AO35" s="1080">
        <v>2</v>
      </c>
      <c r="AP35" s="1077">
        <v>4</v>
      </c>
      <c r="AQ35" s="1074">
        <v>1</v>
      </c>
      <c r="AR35" s="1078">
        <v>2</v>
      </c>
      <c r="AS35" s="1079">
        <v>4</v>
      </c>
      <c r="AT35" s="1074">
        <v>1</v>
      </c>
      <c r="AU35" s="1080">
        <v>2</v>
      </c>
      <c r="AV35" s="1077">
        <v>4</v>
      </c>
      <c r="AW35" s="1074">
        <v>1</v>
      </c>
      <c r="AX35" s="1078">
        <v>2</v>
      </c>
      <c r="AY35" s="1079">
        <v>4</v>
      </c>
      <c r="AZ35" s="1074">
        <v>1</v>
      </c>
      <c r="BA35" s="1080">
        <v>2</v>
      </c>
      <c r="BB35" s="1077">
        <v>4</v>
      </c>
      <c r="BC35" s="1074">
        <v>1</v>
      </c>
      <c r="BD35" s="1078">
        <v>2</v>
      </c>
      <c r="BE35" s="1079">
        <v>4</v>
      </c>
      <c r="BF35" s="1074">
        <v>1</v>
      </c>
      <c r="BG35" s="1080">
        <v>2</v>
      </c>
      <c r="BH35" s="1077">
        <v>4</v>
      </c>
      <c r="BI35" s="1074">
        <v>1</v>
      </c>
      <c r="BJ35" s="1078">
        <v>2</v>
      </c>
      <c r="BK35" s="1079">
        <v>4</v>
      </c>
      <c r="BL35" s="1074">
        <v>1</v>
      </c>
      <c r="BM35" s="1080">
        <v>2</v>
      </c>
      <c r="BN35" s="1076"/>
      <c r="BO35" s="1074"/>
      <c r="BP35" s="1076"/>
      <c r="BQ35" s="1081">
        <f t="shared" si="2"/>
        <v>141.5</v>
      </c>
    </row>
    <row r="36" spans="1:69" ht="20.100000000000001" customHeight="1" thickTop="1" thickBot="1">
      <c r="A36" s="1117">
        <v>10</v>
      </c>
      <c r="B36" s="1092" t="str">
        <f ca="1">IF(A36="","",OFFSET(BaseDeDonnéesSalariés!B$2,RelevéHeuresChantiersParMois!A36-1,0))</f>
        <v>JAUFFRET Philippe</v>
      </c>
      <c r="C36" s="1093">
        <v>3.5</v>
      </c>
      <c r="D36" s="1094">
        <v>1</v>
      </c>
      <c r="E36" s="1095">
        <v>2</v>
      </c>
      <c r="F36" s="1096">
        <v>4</v>
      </c>
      <c r="G36" s="1094"/>
      <c r="H36" s="1096"/>
      <c r="I36" s="1093">
        <v>4</v>
      </c>
      <c r="J36" s="1094">
        <v>1</v>
      </c>
      <c r="K36" s="1095">
        <v>2</v>
      </c>
      <c r="L36" s="1097">
        <v>4</v>
      </c>
      <c r="M36" s="1094">
        <v>1</v>
      </c>
      <c r="N36" s="1098"/>
      <c r="O36" s="1099">
        <v>4</v>
      </c>
      <c r="P36" s="1094">
        <v>1</v>
      </c>
      <c r="Q36" s="1100">
        <v>2</v>
      </c>
      <c r="R36" s="1097">
        <v>4</v>
      </c>
      <c r="S36" s="1094">
        <v>1</v>
      </c>
      <c r="T36" s="1098">
        <v>2</v>
      </c>
      <c r="U36" s="1099">
        <v>4</v>
      </c>
      <c r="V36" s="1094">
        <v>1</v>
      </c>
      <c r="W36" s="1100">
        <v>2</v>
      </c>
      <c r="X36" s="1097">
        <v>4</v>
      </c>
      <c r="Y36" s="1094">
        <v>1</v>
      </c>
      <c r="Z36" s="1098">
        <v>2</v>
      </c>
      <c r="AA36" s="1099">
        <v>4</v>
      </c>
      <c r="AB36" s="1094">
        <v>1</v>
      </c>
      <c r="AC36" s="1100">
        <v>2</v>
      </c>
      <c r="AD36" s="1099">
        <v>4</v>
      </c>
      <c r="AE36" s="1094">
        <v>1</v>
      </c>
      <c r="AF36" s="1100">
        <v>2</v>
      </c>
      <c r="AG36" s="1099">
        <v>4</v>
      </c>
      <c r="AH36" s="1094">
        <v>1</v>
      </c>
      <c r="AI36" s="1100">
        <v>2</v>
      </c>
      <c r="AJ36" s="1097">
        <v>4</v>
      </c>
      <c r="AK36" s="1094">
        <v>1</v>
      </c>
      <c r="AL36" s="1098">
        <v>2</v>
      </c>
      <c r="AM36" s="1099">
        <v>4</v>
      </c>
      <c r="AN36" s="1094">
        <v>1</v>
      </c>
      <c r="AO36" s="1100">
        <v>2</v>
      </c>
      <c r="AP36" s="1097">
        <v>4</v>
      </c>
      <c r="AQ36" s="1094">
        <v>1</v>
      </c>
      <c r="AR36" s="1098">
        <v>2</v>
      </c>
      <c r="AS36" s="1099">
        <v>4</v>
      </c>
      <c r="AT36" s="1094">
        <v>1</v>
      </c>
      <c r="AU36" s="1100">
        <v>2</v>
      </c>
      <c r="AV36" s="1097">
        <v>4</v>
      </c>
      <c r="AW36" s="1094">
        <v>1</v>
      </c>
      <c r="AX36" s="1098">
        <v>2</v>
      </c>
      <c r="AY36" s="1099">
        <v>4</v>
      </c>
      <c r="AZ36" s="1094">
        <v>1</v>
      </c>
      <c r="BA36" s="1100">
        <v>2</v>
      </c>
      <c r="BB36" s="1097">
        <v>4</v>
      </c>
      <c r="BC36" s="1094">
        <v>1</v>
      </c>
      <c r="BD36" s="1098">
        <v>2</v>
      </c>
      <c r="BE36" s="1099">
        <v>4</v>
      </c>
      <c r="BF36" s="1094">
        <v>1</v>
      </c>
      <c r="BG36" s="1100">
        <v>2</v>
      </c>
      <c r="BH36" s="1097">
        <v>4</v>
      </c>
      <c r="BI36" s="1094">
        <v>1</v>
      </c>
      <c r="BJ36" s="1098">
        <v>2</v>
      </c>
      <c r="BK36" s="1099">
        <v>4</v>
      </c>
      <c r="BL36" s="1094">
        <v>1</v>
      </c>
      <c r="BM36" s="1100">
        <v>2</v>
      </c>
      <c r="BN36" s="1096"/>
      <c r="BO36" s="1094"/>
      <c r="BP36" s="1096"/>
      <c r="BQ36" s="1101">
        <f t="shared" si="2"/>
        <v>141.5</v>
      </c>
    </row>
    <row r="37" spans="1:69" ht="20.100000000000001" customHeight="1" thickTop="1" thickBot="1">
      <c r="A37" s="1118">
        <v>11</v>
      </c>
      <c r="B37" s="1072" t="str">
        <f ca="1">IF(A37="","",OFFSET(BaseDeDonnéesSalariés!B$2,RelevéHeuresChantiersParMois!A37-1,0))</f>
        <v>LIMARE Serge</v>
      </c>
      <c r="C37" s="1073">
        <v>3.5</v>
      </c>
      <c r="D37" s="1074">
        <v>1</v>
      </c>
      <c r="E37" s="1075">
        <v>2</v>
      </c>
      <c r="F37" s="1076">
        <v>4</v>
      </c>
      <c r="G37" s="1074"/>
      <c r="H37" s="1076"/>
      <c r="I37" s="1073">
        <v>4</v>
      </c>
      <c r="J37" s="1074">
        <v>1</v>
      </c>
      <c r="K37" s="1075">
        <v>2</v>
      </c>
      <c r="L37" s="1077">
        <v>4</v>
      </c>
      <c r="M37" s="1074">
        <v>1</v>
      </c>
      <c r="N37" s="1078"/>
      <c r="O37" s="1079">
        <v>4</v>
      </c>
      <c r="P37" s="1074">
        <v>1</v>
      </c>
      <c r="Q37" s="1080">
        <v>2</v>
      </c>
      <c r="R37" s="1077">
        <v>4</v>
      </c>
      <c r="S37" s="1074">
        <v>1</v>
      </c>
      <c r="T37" s="1078">
        <v>2</v>
      </c>
      <c r="U37" s="1079">
        <v>4</v>
      </c>
      <c r="V37" s="1074">
        <v>1</v>
      </c>
      <c r="W37" s="1080">
        <v>2</v>
      </c>
      <c r="X37" s="1077">
        <v>4</v>
      </c>
      <c r="Y37" s="1074">
        <v>1</v>
      </c>
      <c r="Z37" s="1078">
        <v>2</v>
      </c>
      <c r="AA37" s="1079">
        <v>4</v>
      </c>
      <c r="AB37" s="1074">
        <v>1</v>
      </c>
      <c r="AC37" s="1080">
        <v>2</v>
      </c>
      <c r="AD37" s="1079">
        <v>4</v>
      </c>
      <c r="AE37" s="1074">
        <v>1</v>
      </c>
      <c r="AF37" s="1080">
        <v>2</v>
      </c>
      <c r="AG37" s="1079">
        <v>4</v>
      </c>
      <c r="AH37" s="1074">
        <v>1</v>
      </c>
      <c r="AI37" s="1080">
        <v>2</v>
      </c>
      <c r="AJ37" s="1077">
        <v>4</v>
      </c>
      <c r="AK37" s="1074">
        <v>1</v>
      </c>
      <c r="AL37" s="1078">
        <v>2</v>
      </c>
      <c r="AM37" s="1079">
        <v>4</v>
      </c>
      <c r="AN37" s="1074">
        <v>1</v>
      </c>
      <c r="AO37" s="1080">
        <v>2</v>
      </c>
      <c r="AP37" s="1077">
        <v>4</v>
      </c>
      <c r="AQ37" s="1074">
        <v>1</v>
      </c>
      <c r="AR37" s="1078">
        <v>2</v>
      </c>
      <c r="AS37" s="1079">
        <v>4</v>
      </c>
      <c r="AT37" s="1074">
        <v>1</v>
      </c>
      <c r="AU37" s="1080">
        <v>2</v>
      </c>
      <c r="AV37" s="1077">
        <v>4</v>
      </c>
      <c r="AW37" s="1074">
        <v>1</v>
      </c>
      <c r="AX37" s="1078">
        <v>2</v>
      </c>
      <c r="AY37" s="1079">
        <v>4</v>
      </c>
      <c r="AZ37" s="1074">
        <v>1</v>
      </c>
      <c r="BA37" s="1080">
        <v>2</v>
      </c>
      <c r="BB37" s="1077">
        <v>4</v>
      </c>
      <c r="BC37" s="1074">
        <v>1</v>
      </c>
      <c r="BD37" s="1078">
        <v>2</v>
      </c>
      <c r="BE37" s="1079">
        <v>4</v>
      </c>
      <c r="BF37" s="1074">
        <v>1</v>
      </c>
      <c r="BG37" s="1080">
        <v>2</v>
      </c>
      <c r="BH37" s="1077">
        <v>4</v>
      </c>
      <c r="BI37" s="1074">
        <v>1</v>
      </c>
      <c r="BJ37" s="1078">
        <v>2</v>
      </c>
      <c r="BK37" s="1079">
        <v>4</v>
      </c>
      <c r="BL37" s="1074">
        <v>1</v>
      </c>
      <c r="BM37" s="1080">
        <v>2</v>
      </c>
      <c r="BN37" s="1076"/>
      <c r="BO37" s="1074"/>
      <c r="BP37" s="1076"/>
      <c r="BQ37" s="1081">
        <f t="shared" si="2"/>
        <v>141.5</v>
      </c>
    </row>
    <row r="38" spans="1:69" ht="20.100000000000001" customHeight="1" thickTop="1" thickBot="1">
      <c r="A38" s="1117"/>
      <c r="B38" s="1092" t="str">
        <f ca="1">IF(A38="","",OFFSET(BaseDeDonnéesSalariés!B$2,RelevéHeuresChantiersParMois!A38-1,0))</f>
        <v/>
      </c>
      <c r="C38" s="1093"/>
      <c r="D38" s="1094"/>
      <c r="E38" s="1095"/>
      <c r="F38" s="1096"/>
      <c r="G38" s="1094"/>
      <c r="H38" s="1096"/>
      <c r="I38" s="1093"/>
      <c r="J38" s="1094"/>
      <c r="K38" s="1095"/>
      <c r="L38" s="1097"/>
      <c r="M38" s="1094"/>
      <c r="N38" s="1098"/>
      <c r="O38" s="1099"/>
      <c r="P38" s="1094"/>
      <c r="Q38" s="1100"/>
      <c r="R38" s="1097"/>
      <c r="S38" s="1094"/>
      <c r="T38" s="1098"/>
      <c r="U38" s="1099"/>
      <c r="V38" s="1094"/>
      <c r="W38" s="1100"/>
      <c r="X38" s="1097"/>
      <c r="Y38" s="1094"/>
      <c r="Z38" s="1098"/>
      <c r="AA38" s="1099"/>
      <c r="AB38" s="1094"/>
      <c r="AC38" s="1100"/>
      <c r="AD38" s="1099"/>
      <c r="AE38" s="1094"/>
      <c r="AF38" s="1100"/>
      <c r="AG38" s="1099"/>
      <c r="AH38" s="1094"/>
      <c r="AI38" s="1100"/>
      <c r="AJ38" s="1097"/>
      <c r="AK38" s="1094"/>
      <c r="AL38" s="1098"/>
      <c r="AM38" s="1099"/>
      <c r="AN38" s="1094"/>
      <c r="AO38" s="1100"/>
      <c r="AP38" s="1097"/>
      <c r="AQ38" s="1094"/>
      <c r="AR38" s="1098"/>
      <c r="AS38" s="1099"/>
      <c r="AT38" s="1094"/>
      <c r="AU38" s="1100"/>
      <c r="AV38" s="1097"/>
      <c r="AW38" s="1094"/>
      <c r="AX38" s="1098"/>
      <c r="AY38" s="1099"/>
      <c r="AZ38" s="1094"/>
      <c r="BA38" s="1100"/>
      <c r="BB38" s="1097"/>
      <c r="BC38" s="1094"/>
      <c r="BD38" s="1098"/>
      <c r="BE38" s="1099"/>
      <c r="BF38" s="1094"/>
      <c r="BG38" s="1100"/>
      <c r="BH38" s="1097"/>
      <c r="BI38" s="1094"/>
      <c r="BJ38" s="1098"/>
      <c r="BK38" s="1099"/>
      <c r="BL38" s="1094"/>
      <c r="BM38" s="1100"/>
      <c r="BN38" s="1096"/>
      <c r="BO38" s="1094"/>
      <c r="BP38" s="1096"/>
      <c r="BQ38" s="1101">
        <f t="shared" si="2"/>
        <v>0</v>
      </c>
    </row>
    <row r="39" spans="1:69" ht="20.100000000000001" customHeight="1" thickTop="1" thickBot="1">
      <c r="A39" s="1118"/>
      <c r="B39" s="1072" t="str">
        <f ca="1">IF(A39="","",OFFSET(BaseDeDonnéesSalariés!B$2,RelevéHeuresChantiersParMois!A39-1,0))</f>
        <v/>
      </c>
      <c r="C39" s="1073"/>
      <c r="D39" s="1074"/>
      <c r="E39" s="1075"/>
      <c r="F39" s="1076"/>
      <c r="G39" s="1074"/>
      <c r="H39" s="1076"/>
      <c r="I39" s="1073"/>
      <c r="J39" s="1074"/>
      <c r="K39" s="1075"/>
      <c r="L39" s="1077"/>
      <c r="M39" s="1074"/>
      <c r="N39" s="1078"/>
      <c r="O39" s="1079"/>
      <c r="P39" s="1074"/>
      <c r="Q39" s="1080"/>
      <c r="R39" s="1077"/>
      <c r="S39" s="1074"/>
      <c r="T39" s="1078"/>
      <c r="U39" s="1079"/>
      <c r="V39" s="1074"/>
      <c r="W39" s="1080"/>
      <c r="X39" s="1077"/>
      <c r="Y39" s="1074"/>
      <c r="Z39" s="1078"/>
      <c r="AA39" s="1079"/>
      <c r="AB39" s="1074"/>
      <c r="AC39" s="1080"/>
      <c r="AD39" s="1079"/>
      <c r="AE39" s="1074"/>
      <c r="AF39" s="1080"/>
      <c r="AG39" s="1079"/>
      <c r="AH39" s="1074"/>
      <c r="AI39" s="1080"/>
      <c r="AJ39" s="1077"/>
      <c r="AK39" s="1074"/>
      <c r="AL39" s="1078"/>
      <c r="AM39" s="1079"/>
      <c r="AN39" s="1074"/>
      <c r="AO39" s="1080"/>
      <c r="AP39" s="1077"/>
      <c r="AQ39" s="1074"/>
      <c r="AR39" s="1078"/>
      <c r="AS39" s="1079"/>
      <c r="AT39" s="1074"/>
      <c r="AU39" s="1080"/>
      <c r="AV39" s="1077"/>
      <c r="AW39" s="1074"/>
      <c r="AX39" s="1078"/>
      <c r="AY39" s="1079"/>
      <c r="AZ39" s="1074"/>
      <c r="BA39" s="1080"/>
      <c r="BB39" s="1077"/>
      <c r="BC39" s="1074"/>
      <c r="BD39" s="1078"/>
      <c r="BE39" s="1079"/>
      <c r="BF39" s="1074"/>
      <c r="BG39" s="1080"/>
      <c r="BH39" s="1077"/>
      <c r="BI39" s="1074"/>
      <c r="BJ39" s="1078"/>
      <c r="BK39" s="1079"/>
      <c r="BL39" s="1074"/>
      <c r="BM39" s="1080"/>
      <c r="BN39" s="1076"/>
      <c r="BO39" s="1074"/>
      <c r="BP39" s="1076"/>
      <c r="BQ39" s="1081">
        <f t="shared" si="2"/>
        <v>0</v>
      </c>
    </row>
    <row r="40" spans="1:69" ht="20.100000000000001" customHeight="1" thickTop="1" thickBot="1">
      <c r="A40" s="1117"/>
      <c r="B40" s="1092" t="str">
        <f ca="1">IF(A40="","",OFFSET(BaseDeDonnéesSalariés!B$2,RelevéHeuresChantiersParMois!A40-1,0))</f>
        <v/>
      </c>
      <c r="C40" s="1093"/>
      <c r="D40" s="1094"/>
      <c r="E40" s="1095"/>
      <c r="F40" s="1096"/>
      <c r="G40" s="1094"/>
      <c r="H40" s="1096"/>
      <c r="I40" s="1093"/>
      <c r="J40" s="1094"/>
      <c r="K40" s="1095"/>
      <c r="L40" s="1097"/>
      <c r="M40" s="1094"/>
      <c r="N40" s="1098"/>
      <c r="O40" s="1099"/>
      <c r="P40" s="1094"/>
      <c r="Q40" s="1100"/>
      <c r="R40" s="1097"/>
      <c r="S40" s="1094"/>
      <c r="T40" s="1098"/>
      <c r="U40" s="1099"/>
      <c r="V40" s="1094"/>
      <c r="W40" s="1100"/>
      <c r="X40" s="1097"/>
      <c r="Y40" s="1094"/>
      <c r="Z40" s="1098"/>
      <c r="AA40" s="1099"/>
      <c r="AB40" s="1094"/>
      <c r="AC40" s="1100"/>
      <c r="AD40" s="1099"/>
      <c r="AE40" s="1094"/>
      <c r="AF40" s="1100"/>
      <c r="AG40" s="1099"/>
      <c r="AH40" s="1094"/>
      <c r="AI40" s="1100"/>
      <c r="AJ40" s="1097"/>
      <c r="AK40" s="1094"/>
      <c r="AL40" s="1098"/>
      <c r="AM40" s="1099"/>
      <c r="AN40" s="1094"/>
      <c r="AO40" s="1100"/>
      <c r="AP40" s="1097"/>
      <c r="AQ40" s="1094"/>
      <c r="AR40" s="1098"/>
      <c r="AS40" s="1099"/>
      <c r="AT40" s="1094"/>
      <c r="AU40" s="1100"/>
      <c r="AV40" s="1097"/>
      <c r="AW40" s="1094"/>
      <c r="AX40" s="1098"/>
      <c r="AY40" s="1099"/>
      <c r="AZ40" s="1094"/>
      <c r="BA40" s="1100"/>
      <c r="BB40" s="1097"/>
      <c r="BC40" s="1094"/>
      <c r="BD40" s="1098"/>
      <c r="BE40" s="1099"/>
      <c r="BF40" s="1094"/>
      <c r="BG40" s="1100"/>
      <c r="BH40" s="1097"/>
      <c r="BI40" s="1094"/>
      <c r="BJ40" s="1098"/>
      <c r="BK40" s="1099"/>
      <c r="BL40" s="1094"/>
      <c r="BM40" s="1100"/>
      <c r="BN40" s="1096"/>
      <c r="BO40" s="1094"/>
      <c r="BP40" s="1096"/>
      <c r="BQ40" s="1101">
        <f t="shared" si="2"/>
        <v>0</v>
      </c>
    </row>
    <row r="41" spans="1:69" ht="20.100000000000001" customHeight="1" thickTop="1" thickBot="1">
      <c r="A41" s="1118"/>
      <c r="B41" s="1072" t="str">
        <f ca="1">IF(A41="","",OFFSET(BaseDeDonnéesSalariés!B$2,RelevéHeuresChantiersParMois!A41-1,0))</f>
        <v/>
      </c>
      <c r="C41" s="1073"/>
      <c r="D41" s="1074"/>
      <c r="E41" s="1075"/>
      <c r="F41" s="1076"/>
      <c r="G41" s="1074"/>
      <c r="H41" s="1076"/>
      <c r="I41" s="1073"/>
      <c r="J41" s="1074"/>
      <c r="K41" s="1075"/>
      <c r="L41" s="1077"/>
      <c r="M41" s="1074"/>
      <c r="N41" s="1078"/>
      <c r="O41" s="1079"/>
      <c r="P41" s="1074"/>
      <c r="Q41" s="1080"/>
      <c r="R41" s="1077"/>
      <c r="S41" s="1074"/>
      <c r="T41" s="1078"/>
      <c r="U41" s="1079"/>
      <c r="V41" s="1074"/>
      <c r="W41" s="1080"/>
      <c r="X41" s="1077"/>
      <c r="Y41" s="1074"/>
      <c r="Z41" s="1078"/>
      <c r="AA41" s="1079"/>
      <c r="AB41" s="1074"/>
      <c r="AC41" s="1080"/>
      <c r="AD41" s="1079"/>
      <c r="AE41" s="1074"/>
      <c r="AF41" s="1080"/>
      <c r="AG41" s="1079"/>
      <c r="AH41" s="1074"/>
      <c r="AI41" s="1080"/>
      <c r="AJ41" s="1077"/>
      <c r="AK41" s="1074"/>
      <c r="AL41" s="1078"/>
      <c r="AM41" s="1079"/>
      <c r="AN41" s="1074"/>
      <c r="AO41" s="1080"/>
      <c r="AP41" s="1077"/>
      <c r="AQ41" s="1074"/>
      <c r="AR41" s="1078"/>
      <c r="AS41" s="1079"/>
      <c r="AT41" s="1074"/>
      <c r="AU41" s="1080"/>
      <c r="AV41" s="1077"/>
      <c r="AW41" s="1074"/>
      <c r="AX41" s="1078"/>
      <c r="AY41" s="1079"/>
      <c r="AZ41" s="1074"/>
      <c r="BA41" s="1080"/>
      <c r="BB41" s="1077"/>
      <c r="BC41" s="1074"/>
      <c r="BD41" s="1078"/>
      <c r="BE41" s="1079"/>
      <c r="BF41" s="1074"/>
      <c r="BG41" s="1080"/>
      <c r="BH41" s="1077"/>
      <c r="BI41" s="1074"/>
      <c r="BJ41" s="1078"/>
      <c r="BK41" s="1079"/>
      <c r="BL41" s="1074"/>
      <c r="BM41" s="1080"/>
      <c r="BN41" s="1076"/>
      <c r="BO41" s="1074"/>
      <c r="BP41" s="1076"/>
      <c r="BQ41" s="1081">
        <f t="shared" si="2"/>
        <v>0</v>
      </c>
    </row>
    <row r="42" spans="1:69" ht="20.100000000000001" customHeight="1" thickTop="1" thickBot="1">
      <c r="A42" s="1117"/>
      <c r="B42" s="1092" t="str">
        <f ca="1">IF(A42="","",OFFSET(BaseDeDonnéesSalariés!B$2,RelevéHeuresChantiersParMois!A42-1,0))</f>
        <v/>
      </c>
      <c r="C42" s="1093"/>
      <c r="D42" s="1094"/>
      <c r="E42" s="1095"/>
      <c r="F42" s="1096"/>
      <c r="G42" s="1094"/>
      <c r="H42" s="1096"/>
      <c r="I42" s="1093"/>
      <c r="J42" s="1094"/>
      <c r="K42" s="1095"/>
      <c r="L42" s="1097"/>
      <c r="M42" s="1094"/>
      <c r="N42" s="1098"/>
      <c r="O42" s="1099"/>
      <c r="P42" s="1094"/>
      <c r="Q42" s="1100"/>
      <c r="R42" s="1097"/>
      <c r="S42" s="1094"/>
      <c r="T42" s="1098"/>
      <c r="U42" s="1099"/>
      <c r="V42" s="1094"/>
      <c r="W42" s="1100"/>
      <c r="X42" s="1097"/>
      <c r="Y42" s="1094"/>
      <c r="Z42" s="1098"/>
      <c r="AA42" s="1099"/>
      <c r="AB42" s="1094"/>
      <c r="AC42" s="1100"/>
      <c r="AD42" s="1099"/>
      <c r="AE42" s="1094"/>
      <c r="AF42" s="1100"/>
      <c r="AG42" s="1099"/>
      <c r="AH42" s="1094"/>
      <c r="AI42" s="1100"/>
      <c r="AJ42" s="1097"/>
      <c r="AK42" s="1094"/>
      <c r="AL42" s="1098"/>
      <c r="AM42" s="1099"/>
      <c r="AN42" s="1094"/>
      <c r="AO42" s="1100"/>
      <c r="AP42" s="1097"/>
      <c r="AQ42" s="1094"/>
      <c r="AR42" s="1098"/>
      <c r="AS42" s="1099"/>
      <c r="AT42" s="1094"/>
      <c r="AU42" s="1100"/>
      <c r="AV42" s="1097"/>
      <c r="AW42" s="1094"/>
      <c r="AX42" s="1098"/>
      <c r="AY42" s="1099"/>
      <c r="AZ42" s="1094"/>
      <c r="BA42" s="1100"/>
      <c r="BB42" s="1097"/>
      <c r="BC42" s="1094"/>
      <c r="BD42" s="1098"/>
      <c r="BE42" s="1099"/>
      <c r="BF42" s="1094"/>
      <c r="BG42" s="1100"/>
      <c r="BH42" s="1097"/>
      <c r="BI42" s="1094"/>
      <c r="BJ42" s="1098"/>
      <c r="BK42" s="1099"/>
      <c r="BL42" s="1094"/>
      <c r="BM42" s="1100"/>
      <c r="BN42" s="1096"/>
      <c r="BO42" s="1094"/>
      <c r="BP42" s="1096"/>
      <c r="BQ42" s="1101">
        <f t="shared" si="2"/>
        <v>0</v>
      </c>
    </row>
    <row r="43" spans="1:69" ht="20.100000000000001" customHeight="1" thickTop="1" thickBot="1">
      <c r="A43" s="1118"/>
      <c r="B43" s="1072" t="str">
        <f ca="1">IF(A43="","",OFFSET(BaseDeDonnéesSalariés!B$2,RelevéHeuresChantiersParMois!A43-1,0))</f>
        <v/>
      </c>
      <c r="C43" s="1073"/>
      <c r="D43" s="1074"/>
      <c r="E43" s="1075"/>
      <c r="F43" s="1076"/>
      <c r="G43" s="1074"/>
      <c r="H43" s="1076"/>
      <c r="I43" s="1073"/>
      <c r="J43" s="1074"/>
      <c r="K43" s="1075"/>
      <c r="L43" s="1077"/>
      <c r="M43" s="1074"/>
      <c r="N43" s="1078"/>
      <c r="O43" s="1079"/>
      <c r="P43" s="1074"/>
      <c r="Q43" s="1080"/>
      <c r="R43" s="1077"/>
      <c r="S43" s="1074"/>
      <c r="T43" s="1078"/>
      <c r="U43" s="1079"/>
      <c r="V43" s="1074"/>
      <c r="W43" s="1080"/>
      <c r="X43" s="1077"/>
      <c r="Y43" s="1074"/>
      <c r="Z43" s="1078"/>
      <c r="AA43" s="1079"/>
      <c r="AB43" s="1074"/>
      <c r="AC43" s="1080"/>
      <c r="AD43" s="1079"/>
      <c r="AE43" s="1074"/>
      <c r="AF43" s="1080"/>
      <c r="AG43" s="1079"/>
      <c r="AH43" s="1074"/>
      <c r="AI43" s="1080"/>
      <c r="AJ43" s="1077"/>
      <c r="AK43" s="1074"/>
      <c r="AL43" s="1078"/>
      <c r="AM43" s="1079"/>
      <c r="AN43" s="1074"/>
      <c r="AO43" s="1080"/>
      <c r="AP43" s="1077"/>
      <c r="AQ43" s="1074"/>
      <c r="AR43" s="1078"/>
      <c r="AS43" s="1079"/>
      <c r="AT43" s="1074"/>
      <c r="AU43" s="1080"/>
      <c r="AV43" s="1077"/>
      <c r="AW43" s="1074"/>
      <c r="AX43" s="1078"/>
      <c r="AY43" s="1079"/>
      <c r="AZ43" s="1074"/>
      <c r="BA43" s="1080"/>
      <c r="BB43" s="1077"/>
      <c r="BC43" s="1074"/>
      <c r="BD43" s="1078"/>
      <c r="BE43" s="1079"/>
      <c r="BF43" s="1074"/>
      <c r="BG43" s="1080"/>
      <c r="BH43" s="1077"/>
      <c r="BI43" s="1074"/>
      <c r="BJ43" s="1078"/>
      <c r="BK43" s="1079"/>
      <c r="BL43" s="1074"/>
      <c r="BM43" s="1080"/>
      <c r="BN43" s="1076"/>
      <c r="BO43" s="1074"/>
      <c r="BP43" s="1076"/>
      <c r="BQ43" s="1081">
        <f t="shared" si="2"/>
        <v>0</v>
      </c>
    </row>
    <row r="44" spans="1:69" ht="20.100000000000001" customHeight="1" thickTop="1" thickBot="1">
      <c r="A44" s="1119"/>
      <c r="B44" s="1102" t="str">
        <f ca="1">IF(A44="","",OFFSET(BaseDeDonnéesSalariés!B$2,RelevéHeuresChantiersParMois!A44-1,0))</f>
        <v/>
      </c>
      <c r="C44" s="1103"/>
      <c r="D44" s="1104"/>
      <c r="E44" s="1105"/>
      <c r="F44" s="1106"/>
      <c r="G44" s="1104"/>
      <c r="H44" s="1106"/>
      <c r="I44" s="1103"/>
      <c r="J44" s="1104"/>
      <c r="K44" s="1105"/>
      <c r="L44" s="1107"/>
      <c r="M44" s="1104"/>
      <c r="N44" s="1108"/>
      <c r="O44" s="1109"/>
      <c r="P44" s="1104"/>
      <c r="Q44" s="1110"/>
      <c r="R44" s="1107"/>
      <c r="S44" s="1104"/>
      <c r="T44" s="1108"/>
      <c r="U44" s="1109"/>
      <c r="V44" s="1104"/>
      <c r="W44" s="1110"/>
      <c r="X44" s="1107"/>
      <c r="Y44" s="1104"/>
      <c r="Z44" s="1108"/>
      <c r="AA44" s="1109"/>
      <c r="AB44" s="1104"/>
      <c r="AC44" s="1110"/>
      <c r="AD44" s="1109"/>
      <c r="AE44" s="1104"/>
      <c r="AF44" s="1110"/>
      <c r="AG44" s="1109"/>
      <c r="AH44" s="1104"/>
      <c r="AI44" s="1110"/>
      <c r="AJ44" s="1107"/>
      <c r="AK44" s="1104"/>
      <c r="AL44" s="1108"/>
      <c r="AM44" s="1109"/>
      <c r="AN44" s="1104"/>
      <c r="AO44" s="1110"/>
      <c r="AP44" s="1107"/>
      <c r="AQ44" s="1104"/>
      <c r="AR44" s="1108"/>
      <c r="AS44" s="1109"/>
      <c r="AT44" s="1104"/>
      <c r="AU44" s="1110"/>
      <c r="AV44" s="1107"/>
      <c r="AW44" s="1104"/>
      <c r="AX44" s="1108"/>
      <c r="AY44" s="1109"/>
      <c r="AZ44" s="1104"/>
      <c r="BA44" s="1110"/>
      <c r="BB44" s="1107"/>
      <c r="BC44" s="1104"/>
      <c r="BD44" s="1108"/>
      <c r="BE44" s="1109"/>
      <c r="BF44" s="1104"/>
      <c r="BG44" s="1110"/>
      <c r="BH44" s="1107"/>
      <c r="BI44" s="1104"/>
      <c r="BJ44" s="1108"/>
      <c r="BK44" s="1109"/>
      <c r="BL44" s="1104"/>
      <c r="BM44" s="1110"/>
      <c r="BN44" s="1106"/>
      <c r="BO44" s="1104"/>
      <c r="BP44" s="1106"/>
      <c r="BQ44" s="1111">
        <f t="shared" si="2"/>
        <v>0</v>
      </c>
    </row>
    <row r="45" spans="1:69" ht="20.100000000000001" customHeight="1" thickTop="1" thickBot="1">
      <c r="A45" s="1120"/>
      <c r="B45" s="1082" t="str">
        <f ca="1">IF(A45="","",OFFSET(BaseDeDonnéesSalariés!B$2,RelevéHeuresChantiersParMois!A45-1,0))</f>
        <v/>
      </c>
      <c r="C45" s="1083"/>
      <c r="D45" s="1084"/>
      <c r="E45" s="1085"/>
      <c r="F45" s="1086"/>
      <c r="G45" s="1084"/>
      <c r="H45" s="1086"/>
      <c r="I45" s="1083"/>
      <c r="J45" s="1084"/>
      <c r="K45" s="1085"/>
      <c r="L45" s="1087"/>
      <c r="M45" s="1084"/>
      <c r="N45" s="1088"/>
      <c r="O45" s="1089"/>
      <c r="P45" s="1084"/>
      <c r="Q45" s="1090"/>
      <c r="R45" s="1087"/>
      <c r="S45" s="1084"/>
      <c r="T45" s="1088"/>
      <c r="U45" s="1089"/>
      <c r="V45" s="1084"/>
      <c r="W45" s="1090"/>
      <c r="X45" s="1087"/>
      <c r="Y45" s="1084"/>
      <c r="Z45" s="1088"/>
      <c r="AA45" s="1089"/>
      <c r="AB45" s="1084"/>
      <c r="AC45" s="1090"/>
      <c r="AD45" s="1089"/>
      <c r="AE45" s="1084"/>
      <c r="AF45" s="1090"/>
      <c r="AG45" s="1089"/>
      <c r="AH45" s="1084"/>
      <c r="AI45" s="1090"/>
      <c r="AJ45" s="1087"/>
      <c r="AK45" s="1084"/>
      <c r="AL45" s="1088"/>
      <c r="AM45" s="1089"/>
      <c r="AN45" s="1084"/>
      <c r="AO45" s="1090"/>
      <c r="AP45" s="1087"/>
      <c r="AQ45" s="1084"/>
      <c r="AR45" s="1088"/>
      <c r="AS45" s="1089"/>
      <c r="AT45" s="1084"/>
      <c r="AU45" s="1090"/>
      <c r="AV45" s="1087"/>
      <c r="AW45" s="1084"/>
      <c r="AX45" s="1088"/>
      <c r="AY45" s="1089"/>
      <c r="AZ45" s="1084"/>
      <c r="BA45" s="1090"/>
      <c r="BB45" s="1087"/>
      <c r="BC45" s="1084"/>
      <c r="BD45" s="1088"/>
      <c r="BE45" s="1089"/>
      <c r="BF45" s="1084"/>
      <c r="BG45" s="1090"/>
      <c r="BH45" s="1087"/>
      <c r="BI45" s="1084"/>
      <c r="BJ45" s="1088"/>
      <c r="BK45" s="1089"/>
      <c r="BL45" s="1084"/>
      <c r="BM45" s="1090"/>
      <c r="BN45" s="1086"/>
      <c r="BO45" s="1084"/>
      <c r="BP45" s="1086"/>
      <c r="BQ45" s="1091">
        <f t="shared" si="2"/>
        <v>0</v>
      </c>
    </row>
    <row r="46" spans="1:69" s="8" customFormat="1" ht="30.75" customHeight="1" thickTop="1" thickBot="1">
      <c r="A46" s="1181" t="s">
        <v>671</v>
      </c>
      <c r="B46" s="1182"/>
      <c r="C46" s="1112">
        <f>SUM(C27:C45)</f>
        <v>38.5</v>
      </c>
      <c r="D46" s="1113">
        <f t="shared" ref="D46:BO46" si="3">SUM(D27:D45)</f>
        <v>11</v>
      </c>
      <c r="E46" s="1114">
        <f t="shared" si="3"/>
        <v>22</v>
      </c>
      <c r="F46" s="1112">
        <f t="shared" si="3"/>
        <v>44</v>
      </c>
      <c r="G46" s="1113">
        <f t="shared" si="3"/>
        <v>0</v>
      </c>
      <c r="H46" s="1114">
        <f t="shared" si="3"/>
        <v>0</v>
      </c>
      <c r="I46" s="1112">
        <f t="shared" si="3"/>
        <v>44</v>
      </c>
      <c r="J46" s="1113">
        <f t="shared" si="3"/>
        <v>11</v>
      </c>
      <c r="K46" s="1114">
        <f t="shared" si="3"/>
        <v>22</v>
      </c>
      <c r="L46" s="1112">
        <f t="shared" si="3"/>
        <v>44</v>
      </c>
      <c r="M46" s="1113">
        <f t="shared" si="3"/>
        <v>11</v>
      </c>
      <c r="N46" s="1114">
        <f t="shared" si="3"/>
        <v>0</v>
      </c>
      <c r="O46" s="1112">
        <f t="shared" si="3"/>
        <v>44</v>
      </c>
      <c r="P46" s="1113">
        <f t="shared" si="3"/>
        <v>11</v>
      </c>
      <c r="Q46" s="1114">
        <f t="shared" si="3"/>
        <v>22</v>
      </c>
      <c r="R46" s="1112">
        <f t="shared" si="3"/>
        <v>44</v>
      </c>
      <c r="S46" s="1113">
        <f t="shared" si="3"/>
        <v>11</v>
      </c>
      <c r="T46" s="1114">
        <f t="shared" si="3"/>
        <v>22</v>
      </c>
      <c r="U46" s="1112">
        <f t="shared" si="3"/>
        <v>44</v>
      </c>
      <c r="V46" s="1113">
        <f t="shared" si="3"/>
        <v>11</v>
      </c>
      <c r="W46" s="1114">
        <f t="shared" si="3"/>
        <v>22</v>
      </c>
      <c r="X46" s="1112">
        <f t="shared" si="3"/>
        <v>44</v>
      </c>
      <c r="Y46" s="1113">
        <f t="shared" si="3"/>
        <v>11</v>
      </c>
      <c r="Z46" s="1114">
        <f t="shared" si="3"/>
        <v>22</v>
      </c>
      <c r="AA46" s="1112">
        <f t="shared" si="3"/>
        <v>44</v>
      </c>
      <c r="AB46" s="1113">
        <f t="shared" si="3"/>
        <v>11</v>
      </c>
      <c r="AC46" s="1114">
        <f t="shared" si="3"/>
        <v>22</v>
      </c>
      <c r="AD46" s="1112">
        <f t="shared" si="3"/>
        <v>44</v>
      </c>
      <c r="AE46" s="1113">
        <f t="shared" si="3"/>
        <v>11</v>
      </c>
      <c r="AF46" s="1114">
        <f t="shared" si="3"/>
        <v>22</v>
      </c>
      <c r="AG46" s="1112">
        <f t="shared" si="3"/>
        <v>44</v>
      </c>
      <c r="AH46" s="1113">
        <f t="shared" si="3"/>
        <v>11</v>
      </c>
      <c r="AI46" s="1114">
        <f t="shared" si="3"/>
        <v>22</v>
      </c>
      <c r="AJ46" s="1112">
        <f t="shared" si="3"/>
        <v>44</v>
      </c>
      <c r="AK46" s="1113">
        <f t="shared" si="3"/>
        <v>11</v>
      </c>
      <c r="AL46" s="1114">
        <f t="shared" si="3"/>
        <v>22</v>
      </c>
      <c r="AM46" s="1112">
        <f t="shared" si="3"/>
        <v>44</v>
      </c>
      <c r="AN46" s="1113">
        <f t="shared" si="3"/>
        <v>11</v>
      </c>
      <c r="AO46" s="1114">
        <f t="shared" si="3"/>
        <v>22</v>
      </c>
      <c r="AP46" s="1112">
        <f t="shared" si="3"/>
        <v>44</v>
      </c>
      <c r="AQ46" s="1113">
        <f t="shared" si="3"/>
        <v>11</v>
      </c>
      <c r="AR46" s="1114">
        <f t="shared" si="3"/>
        <v>22</v>
      </c>
      <c r="AS46" s="1112">
        <f t="shared" si="3"/>
        <v>44</v>
      </c>
      <c r="AT46" s="1113">
        <f t="shared" si="3"/>
        <v>11</v>
      </c>
      <c r="AU46" s="1114">
        <f t="shared" si="3"/>
        <v>22</v>
      </c>
      <c r="AV46" s="1112">
        <f t="shared" si="3"/>
        <v>44</v>
      </c>
      <c r="AW46" s="1113">
        <f t="shared" si="3"/>
        <v>11</v>
      </c>
      <c r="AX46" s="1114">
        <f t="shared" si="3"/>
        <v>22</v>
      </c>
      <c r="AY46" s="1112">
        <f t="shared" si="3"/>
        <v>44</v>
      </c>
      <c r="AZ46" s="1113">
        <f t="shared" si="3"/>
        <v>11</v>
      </c>
      <c r="BA46" s="1114">
        <f t="shared" si="3"/>
        <v>22</v>
      </c>
      <c r="BB46" s="1112">
        <f t="shared" si="3"/>
        <v>44</v>
      </c>
      <c r="BC46" s="1113">
        <f t="shared" si="3"/>
        <v>11</v>
      </c>
      <c r="BD46" s="1114">
        <f t="shared" si="3"/>
        <v>22</v>
      </c>
      <c r="BE46" s="1112">
        <f t="shared" si="3"/>
        <v>44</v>
      </c>
      <c r="BF46" s="1113">
        <f t="shared" si="3"/>
        <v>11</v>
      </c>
      <c r="BG46" s="1114">
        <f t="shared" si="3"/>
        <v>22</v>
      </c>
      <c r="BH46" s="1112">
        <f t="shared" si="3"/>
        <v>44</v>
      </c>
      <c r="BI46" s="1113">
        <f t="shared" si="3"/>
        <v>11</v>
      </c>
      <c r="BJ46" s="1114">
        <f t="shared" si="3"/>
        <v>22</v>
      </c>
      <c r="BK46" s="1112">
        <f t="shared" si="3"/>
        <v>44</v>
      </c>
      <c r="BL46" s="1113">
        <f t="shared" si="3"/>
        <v>11</v>
      </c>
      <c r="BM46" s="1114">
        <f t="shared" si="3"/>
        <v>22</v>
      </c>
      <c r="BN46" s="1112">
        <f t="shared" si="3"/>
        <v>0</v>
      </c>
      <c r="BO46" s="1113">
        <f t="shared" si="3"/>
        <v>0</v>
      </c>
      <c r="BP46" s="1114">
        <f>SUM(BP27:BP45)</f>
        <v>0</v>
      </c>
      <c r="BQ46" s="1115">
        <f>SUM(BQ27:BQ45)</f>
        <v>1556.5</v>
      </c>
    </row>
    <row r="47" spans="1:69" ht="13.5" thickTop="1"/>
  </sheetData>
  <sheetProtection selectLockedCells="1"/>
  <mergeCells count="52">
    <mergeCell ref="AY1:BA1"/>
    <mergeCell ref="BB1:BD1"/>
    <mergeCell ref="U1:W1"/>
    <mergeCell ref="X1:Z1"/>
    <mergeCell ref="AA1:AC1"/>
    <mergeCell ref="AD1:AF1"/>
    <mergeCell ref="AG1:AI1"/>
    <mergeCell ref="AJ1:AL1"/>
    <mergeCell ref="A1:B1"/>
    <mergeCell ref="AM1:AO1"/>
    <mergeCell ref="AP1:AR1"/>
    <mergeCell ref="AS1:AU1"/>
    <mergeCell ref="AV1:AX1"/>
    <mergeCell ref="C1:E1"/>
    <mergeCell ref="F1:H1"/>
    <mergeCell ref="I1:K1"/>
    <mergeCell ref="L1:N1"/>
    <mergeCell ref="O1:Q1"/>
    <mergeCell ref="R1:T1"/>
    <mergeCell ref="BQ1:BQ3"/>
    <mergeCell ref="BE1:BG1"/>
    <mergeCell ref="BH1:BJ1"/>
    <mergeCell ref="BK1:BM1"/>
    <mergeCell ref="BN1:BP1"/>
    <mergeCell ref="C24:E24"/>
    <mergeCell ref="F24:H24"/>
    <mergeCell ref="I24:K24"/>
    <mergeCell ref="L24:N24"/>
    <mergeCell ref="A23:B23"/>
    <mergeCell ref="BN24:BP24"/>
    <mergeCell ref="BQ24:BQ26"/>
    <mergeCell ref="AS24:AU24"/>
    <mergeCell ref="AV24:AX24"/>
    <mergeCell ref="AY24:BA24"/>
    <mergeCell ref="BB24:BD24"/>
    <mergeCell ref="BE24:BG24"/>
    <mergeCell ref="A2:A3"/>
    <mergeCell ref="A25:A26"/>
    <mergeCell ref="A46:B46"/>
    <mergeCell ref="BH24:BJ24"/>
    <mergeCell ref="BK24:BM24"/>
    <mergeCell ref="AD24:AF24"/>
    <mergeCell ref="AG24:AI24"/>
    <mergeCell ref="AJ24:AL24"/>
    <mergeCell ref="AM24:AO24"/>
    <mergeCell ref="AP24:AR24"/>
    <mergeCell ref="O24:Q24"/>
    <mergeCell ref="R24:T24"/>
    <mergeCell ref="U24:W24"/>
    <mergeCell ref="X24:Z24"/>
    <mergeCell ref="AA24:AC24"/>
    <mergeCell ref="A24:B24"/>
  </mergeCells>
  <pageMargins left="3.937007874015748E-2" right="3.937007874015748E-2" top="3.937007874015748E-2" bottom="3.937007874015748E-2" header="0" footer="0"/>
  <pageSetup paperSize="9" scale="88" orientation="landscape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D25"/>
  <sheetViews>
    <sheetView topLeftCell="BK1" zoomScale="85" zoomScaleNormal="85" workbookViewId="0">
      <selection activeCell="CC3" sqref="CC3"/>
    </sheetView>
  </sheetViews>
  <sheetFormatPr baseColWidth="10" defaultColWidth="11.42578125" defaultRowHeight="12.75"/>
  <cols>
    <col min="1" max="1" width="4.28515625" style="48" customWidth="1"/>
    <col min="2" max="2" width="31.42578125" style="18" customWidth="1"/>
    <col min="3" max="3" width="3.42578125" style="58" customWidth="1"/>
    <col min="4" max="68" width="4.28515625" style="58" customWidth="1"/>
    <col min="69" max="69" width="9" style="54" customWidth="1"/>
    <col min="70" max="70" width="4.28515625" style="48" customWidth="1"/>
    <col min="71" max="71" width="31.42578125" style="18" customWidth="1"/>
    <col min="72" max="72" width="9.42578125" style="58" customWidth="1"/>
    <col min="73" max="74" width="7.140625" style="58" customWidth="1"/>
    <col min="75" max="75" width="8.85546875" style="58" customWidth="1"/>
    <col min="76" max="76" width="2.7109375" style="58" customWidth="1"/>
    <col min="77" max="77" width="7.85546875" style="55" customWidth="1"/>
    <col min="78" max="78" width="12.7109375" style="56" customWidth="1"/>
    <col min="79" max="79" width="0.7109375" style="56" customWidth="1"/>
    <col min="80" max="80" width="28.85546875" style="59" customWidth="1"/>
    <col min="81" max="81" width="11.7109375" style="58" customWidth="1"/>
    <col min="82" max="82" width="12.7109375" style="55" customWidth="1"/>
    <col min="83" max="16384" width="11.42578125" style="18"/>
  </cols>
  <sheetData>
    <row r="1" spans="1:82" s="48" customFormat="1" ht="147" customHeight="1" thickTop="1" thickBot="1">
      <c r="A1" s="1199" t="s">
        <v>29</v>
      </c>
      <c r="B1" s="1200"/>
      <c r="C1" s="1214" t="str">
        <f>RelevéHeuresChantiersParMois!C1:E1</f>
        <v>Lundi 2</v>
      </c>
      <c r="D1" s="1215"/>
      <c r="E1" s="1216"/>
      <c r="F1" s="1214" t="str">
        <f>RelevéHeuresChantiersParMois!F1:H1</f>
        <v>Mardi 3</v>
      </c>
      <c r="G1" s="1215"/>
      <c r="H1" s="1216"/>
      <c r="I1" s="1214" t="str">
        <f>RelevéHeuresChantiersParMois!I1:K1</f>
        <v>Mercredi 4</v>
      </c>
      <c r="J1" s="1215"/>
      <c r="K1" s="1216"/>
      <c r="L1" s="1214" t="str">
        <f>RelevéHeuresChantiersParMois!L1:N1</f>
        <v>Jeudi 5</v>
      </c>
      <c r="M1" s="1215"/>
      <c r="N1" s="1216"/>
      <c r="O1" s="1214" t="str">
        <f>RelevéHeuresChantiersParMois!O1:Q1</f>
        <v>Vendredi 6</v>
      </c>
      <c r="P1" s="1215"/>
      <c r="Q1" s="1216"/>
      <c r="R1" s="1214" t="str">
        <f>RelevéHeuresChantiersParMois!R1:T1</f>
        <v>Lundi 9</v>
      </c>
      <c r="S1" s="1215"/>
      <c r="T1" s="1216"/>
      <c r="U1" s="1214" t="str">
        <f>RelevéHeuresChantiersParMois!U1:W1</f>
        <v>Mardi 10</v>
      </c>
      <c r="V1" s="1215"/>
      <c r="W1" s="1216"/>
      <c r="X1" s="1214" t="str">
        <f>RelevéHeuresChantiersParMois!X1:Z1</f>
        <v>Mercredi 11</v>
      </c>
      <c r="Y1" s="1215"/>
      <c r="Z1" s="1216"/>
      <c r="AA1" s="1214" t="str">
        <f>RelevéHeuresChantiersParMois!AA1:AC1</f>
        <v>Jeudi 12</v>
      </c>
      <c r="AB1" s="1215"/>
      <c r="AC1" s="1216"/>
      <c r="AD1" s="1214" t="str">
        <f>RelevéHeuresChantiersParMois!AD1:AF1</f>
        <v>Vendredi 13</v>
      </c>
      <c r="AE1" s="1215"/>
      <c r="AF1" s="1216"/>
      <c r="AG1" s="1214" t="str">
        <f>RelevéHeuresChantiersParMois!AG1:AI1</f>
        <v>Lundi 16</v>
      </c>
      <c r="AH1" s="1215"/>
      <c r="AI1" s="1216"/>
      <c r="AJ1" s="1214" t="str">
        <f>RelevéHeuresChantiersParMois!AJ1:AL1</f>
        <v>Mardi 17</v>
      </c>
      <c r="AK1" s="1215"/>
      <c r="AL1" s="1216"/>
      <c r="AM1" s="1214" t="str">
        <f>RelevéHeuresChantiersParMois!AM1:AO1</f>
        <v>Mercredi 18</v>
      </c>
      <c r="AN1" s="1215"/>
      <c r="AO1" s="1216"/>
      <c r="AP1" s="1214" t="str">
        <f>RelevéHeuresChantiersParMois!AP1:AR1</f>
        <v>Jeudi 19</v>
      </c>
      <c r="AQ1" s="1215"/>
      <c r="AR1" s="1216"/>
      <c r="AS1" s="1214" t="str">
        <f>RelevéHeuresChantiersParMois!AS1:AU1</f>
        <v>Vendredi 20</v>
      </c>
      <c r="AT1" s="1215"/>
      <c r="AU1" s="1216"/>
      <c r="AV1" s="1214" t="str">
        <f>RelevéHeuresChantiersParMois!AV1:AX1</f>
        <v>Lundi 23</v>
      </c>
      <c r="AW1" s="1215"/>
      <c r="AX1" s="1216"/>
      <c r="AY1" s="1214" t="str">
        <f>RelevéHeuresChantiersParMois!AY1:BA1</f>
        <v>Mardi 24</v>
      </c>
      <c r="AZ1" s="1215"/>
      <c r="BA1" s="1216"/>
      <c r="BB1" s="1214" t="str">
        <f>RelevéHeuresChantiersParMois!BB1:BD1</f>
        <v>Mercredi 25</v>
      </c>
      <c r="BC1" s="1215"/>
      <c r="BD1" s="1216"/>
      <c r="BE1" s="1214" t="str">
        <f>RelevéHeuresChantiersParMois!BE1:BG1</f>
        <v>Jeudi 26</v>
      </c>
      <c r="BF1" s="1215"/>
      <c r="BG1" s="1216"/>
      <c r="BH1" s="1214" t="str">
        <f>RelevéHeuresChantiersParMois!BH1:BJ1</f>
        <v>Vendredi 27</v>
      </c>
      <c r="BI1" s="1215"/>
      <c r="BJ1" s="1216"/>
      <c r="BK1" s="1214" t="str">
        <f>RelevéHeuresChantiersParMois!BK1:BM1</f>
        <v>Lundi 30</v>
      </c>
      <c r="BL1" s="1215"/>
      <c r="BM1" s="1216"/>
      <c r="BN1" s="1214" t="str">
        <f>RelevéHeuresChantiersParMois!BN1:BP1</f>
        <v>Mardi 31</v>
      </c>
      <c r="BO1" s="1215"/>
      <c r="BP1" s="1215"/>
      <c r="BQ1" s="1205"/>
      <c r="BR1" s="1199" t="s">
        <v>29</v>
      </c>
      <c r="BS1" s="1200"/>
      <c r="BT1" s="1209" t="s">
        <v>34</v>
      </c>
      <c r="BU1" s="1201"/>
      <c r="BV1" s="1201"/>
      <c r="BW1" s="1201"/>
      <c r="BX1" s="1201"/>
      <c r="BY1" s="1210"/>
      <c r="BZ1" s="1210"/>
      <c r="CA1" s="1211"/>
      <c r="CB1" s="1201" t="s">
        <v>35</v>
      </c>
      <c r="CC1" s="1201"/>
      <c r="CD1" s="1202"/>
    </row>
    <row r="2" spans="1:82" s="48" customFormat="1" ht="110.1" customHeight="1" thickBot="1">
      <c r="A2" s="49" t="s">
        <v>19</v>
      </c>
      <c r="B2" s="33" t="s">
        <v>30</v>
      </c>
      <c r="C2" s="32" t="s">
        <v>26</v>
      </c>
      <c r="D2" s="30" t="s">
        <v>27</v>
      </c>
      <c r="E2" s="31" t="s">
        <v>31</v>
      </c>
      <c r="F2" s="32" t="s">
        <v>26</v>
      </c>
      <c r="G2" s="30" t="s">
        <v>27</v>
      </c>
      <c r="H2" s="31" t="s">
        <v>31</v>
      </c>
      <c r="I2" s="32" t="s">
        <v>26</v>
      </c>
      <c r="J2" s="30" t="s">
        <v>27</v>
      </c>
      <c r="K2" s="31" t="s">
        <v>31</v>
      </c>
      <c r="L2" s="32" t="s">
        <v>26</v>
      </c>
      <c r="M2" s="30" t="s">
        <v>27</v>
      </c>
      <c r="N2" s="31" t="s">
        <v>31</v>
      </c>
      <c r="O2" s="32" t="s">
        <v>26</v>
      </c>
      <c r="P2" s="30" t="s">
        <v>27</v>
      </c>
      <c r="Q2" s="31" t="s">
        <v>31</v>
      </c>
      <c r="R2" s="32" t="s">
        <v>26</v>
      </c>
      <c r="S2" s="30" t="s">
        <v>27</v>
      </c>
      <c r="T2" s="31" t="s">
        <v>31</v>
      </c>
      <c r="U2" s="32" t="s">
        <v>26</v>
      </c>
      <c r="V2" s="30" t="s">
        <v>27</v>
      </c>
      <c r="W2" s="31" t="s">
        <v>31</v>
      </c>
      <c r="X2" s="32" t="s">
        <v>26</v>
      </c>
      <c r="Y2" s="30" t="s">
        <v>27</v>
      </c>
      <c r="Z2" s="31" t="s">
        <v>31</v>
      </c>
      <c r="AA2" s="32" t="s">
        <v>26</v>
      </c>
      <c r="AB2" s="30" t="s">
        <v>27</v>
      </c>
      <c r="AC2" s="31" t="s">
        <v>31</v>
      </c>
      <c r="AD2" s="32" t="s">
        <v>26</v>
      </c>
      <c r="AE2" s="30" t="s">
        <v>27</v>
      </c>
      <c r="AF2" s="31" t="s">
        <v>31</v>
      </c>
      <c r="AG2" s="32" t="s">
        <v>26</v>
      </c>
      <c r="AH2" s="30" t="s">
        <v>27</v>
      </c>
      <c r="AI2" s="31" t="s">
        <v>31</v>
      </c>
      <c r="AJ2" s="32" t="s">
        <v>26</v>
      </c>
      <c r="AK2" s="30" t="s">
        <v>27</v>
      </c>
      <c r="AL2" s="31" t="s">
        <v>31</v>
      </c>
      <c r="AM2" s="32" t="s">
        <v>26</v>
      </c>
      <c r="AN2" s="30" t="s">
        <v>27</v>
      </c>
      <c r="AO2" s="31" t="s">
        <v>31</v>
      </c>
      <c r="AP2" s="32" t="s">
        <v>26</v>
      </c>
      <c r="AQ2" s="30" t="s">
        <v>27</v>
      </c>
      <c r="AR2" s="31" t="s">
        <v>31</v>
      </c>
      <c r="AS2" s="32" t="s">
        <v>26</v>
      </c>
      <c r="AT2" s="30" t="s">
        <v>27</v>
      </c>
      <c r="AU2" s="31" t="s">
        <v>31</v>
      </c>
      <c r="AV2" s="32" t="s">
        <v>26</v>
      </c>
      <c r="AW2" s="30" t="s">
        <v>27</v>
      </c>
      <c r="AX2" s="31" t="s">
        <v>31</v>
      </c>
      <c r="AY2" s="32" t="s">
        <v>26</v>
      </c>
      <c r="AZ2" s="30" t="s">
        <v>27</v>
      </c>
      <c r="BA2" s="31" t="s">
        <v>31</v>
      </c>
      <c r="BB2" s="32" t="s">
        <v>26</v>
      </c>
      <c r="BC2" s="30" t="s">
        <v>27</v>
      </c>
      <c r="BD2" s="31" t="s">
        <v>31</v>
      </c>
      <c r="BE2" s="32" t="s">
        <v>26</v>
      </c>
      <c r="BF2" s="30" t="s">
        <v>27</v>
      </c>
      <c r="BG2" s="31" t="s">
        <v>31</v>
      </c>
      <c r="BH2" s="32" t="s">
        <v>26</v>
      </c>
      <c r="BI2" s="30" t="s">
        <v>27</v>
      </c>
      <c r="BJ2" s="31" t="s">
        <v>31</v>
      </c>
      <c r="BK2" s="32" t="s">
        <v>26</v>
      </c>
      <c r="BL2" s="30" t="s">
        <v>27</v>
      </c>
      <c r="BM2" s="31" t="s">
        <v>31</v>
      </c>
      <c r="BN2" s="32" t="s">
        <v>26</v>
      </c>
      <c r="BO2" s="30" t="s">
        <v>27</v>
      </c>
      <c r="BP2" s="31" t="s">
        <v>31</v>
      </c>
      <c r="BQ2" s="1206"/>
      <c r="BR2" s="49" t="s">
        <v>19</v>
      </c>
      <c r="BS2" s="33" t="s">
        <v>30</v>
      </c>
      <c r="BT2" s="35" t="s">
        <v>26</v>
      </c>
      <c r="BU2" s="36" t="s">
        <v>27</v>
      </c>
      <c r="BV2" s="37" t="s">
        <v>28</v>
      </c>
      <c r="BW2" s="37" t="s">
        <v>37</v>
      </c>
      <c r="BX2" s="1193" t="s">
        <v>32</v>
      </c>
      <c r="BY2" s="1194"/>
      <c r="BZ2" s="43" t="s">
        <v>33</v>
      </c>
      <c r="CA2" s="1212"/>
      <c r="CB2" s="34" t="s">
        <v>40</v>
      </c>
      <c r="CC2" s="37" t="s">
        <v>38</v>
      </c>
      <c r="CD2" s="60" t="s">
        <v>39</v>
      </c>
    </row>
    <row r="3" spans="1:82" ht="20.100000000000001" customHeight="1" thickBot="1">
      <c r="A3" s="14">
        <f>RelevéHeuresChantiersParMois!A4</f>
        <v>1</v>
      </c>
      <c r="B3" s="15" t="str">
        <f ca="1">RelevéHeuresChantiersParMois!B4</f>
        <v>BOISSELET Jean Loup</v>
      </c>
      <c r="C3" s="16">
        <f>SUM(RelevéHeuresChantiersParMois!C4:E4)</f>
        <v>6.5</v>
      </c>
      <c r="D3" s="12">
        <v>1</v>
      </c>
      <c r="E3" s="13"/>
      <c r="F3" s="16">
        <f>SUM(RelevéHeuresChantiersParMois!F4:H4)</f>
        <v>4</v>
      </c>
      <c r="G3" s="12">
        <v>1</v>
      </c>
      <c r="H3" s="13"/>
      <c r="I3" s="16">
        <f>SUM(RelevéHeuresChantiersParMois!I4:K4)</f>
        <v>7</v>
      </c>
      <c r="J3" s="12">
        <v>1</v>
      </c>
      <c r="K3" s="13"/>
      <c r="L3" s="16">
        <f>SUM(RelevéHeuresChantiersParMois!L4:N4)</f>
        <v>5</v>
      </c>
      <c r="M3" s="12">
        <v>1</v>
      </c>
      <c r="N3" s="13">
        <v>2</v>
      </c>
      <c r="O3" s="16">
        <f>SUM(RelevéHeuresChantiersParMois!O4:Q4)</f>
        <v>7</v>
      </c>
      <c r="P3" s="12">
        <v>1</v>
      </c>
      <c r="Q3" s="13"/>
      <c r="R3" s="16">
        <f>SUM(RelevéHeuresChantiersParMois!R4:T4)</f>
        <v>7</v>
      </c>
      <c r="S3" s="12">
        <v>1</v>
      </c>
      <c r="T3" s="13">
        <v>1</v>
      </c>
      <c r="U3" s="16">
        <f>SUM(RelevéHeuresChantiersParMois!U4:W4)</f>
        <v>7</v>
      </c>
      <c r="V3" s="12">
        <v>1</v>
      </c>
      <c r="W3" s="13"/>
      <c r="X3" s="16">
        <f>SUM(RelevéHeuresChantiersParMois!X4:Z4)</f>
        <v>7</v>
      </c>
      <c r="Y3" s="12">
        <v>1</v>
      </c>
      <c r="Z3" s="13"/>
      <c r="AA3" s="16">
        <f>SUM(RelevéHeuresChantiersParMois!AA4:AC4)</f>
        <v>7</v>
      </c>
      <c r="AB3" s="12">
        <v>1</v>
      </c>
      <c r="AC3" s="13"/>
      <c r="AD3" s="16">
        <f>SUM(RelevéHeuresChantiersParMois!AD4:AF4)</f>
        <v>7</v>
      </c>
      <c r="AE3" s="12">
        <v>1</v>
      </c>
      <c r="AF3" s="13"/>
      <c r="AG3" s="16">
        <f>SUM(RelevéHeuresChantiersParMois!AG4:AI4)</f>
        <v>7</v>
      </c>
      <c r="AH3" s="12">
        <v>1</v>
      </c>
      <c r="AI3" s="13"/>
      <c r="AJ3" s="16">
        <f>SUM(RelevéHeuresChantiersParMois!AJ4:AL4)</f>
        <v>7</v>
      </c>
      <c r="AK3" s="12">
        <v>1</v>
      </c>
      <c r="AL3" s="13"/>
      <c r="AM3" s="16">
        <f>SUM(RelevéHeuresChantiersParMois!AM4:AO4)</f>
        <v>7</v>
      </c>
      <c r="AN3" s="12">
        <v>1</v>
      </c>
      <c r="AO3" s="13"/>
      <c r="AP3" s="16">
        <f>SUM(RelevéHeuresChantiersParMois!AP4:AR4)</f>
        <v>7</v>
      </c>
      <c r="AQ3" s="12">
        <v>1</v>
      </c>
      <c r="AR3" s="13"/>
      <c r="AS3" s="16">
        <f>SUM(RelevéHeuresChantiersParMois!AS4:AU4)</f>
        <v>7</v>
      </c>
      <c r="AT3" s="12">
        <v>1</v>
      </c>
      <c r="AU3" s="13"/>
      <c r="AV3" s="16">
        <f>SUM(RelevéHeuresChantiersParMois!AV4:AX4)</f>
        <v>7</v>
      </c>
      <c r="AW3" s="12">
        <v>1</v>
      </c>
      <c r="AX3" s="13"/>
      <c r="AY3" s="16">
        <f>SUM(RelevéHeuresChantiersParMois!AY4:BA4)</f>
        <v>7</v>
      </c>
      <c r="AZ3" s="12">
        <v>1</v>
      </c>
      <c r="BA3" s="13"/>
      <c r="BB3" s="16">
        <f>SUM(RelevéHeuresChantiersParMois!BB4:BD4)</f>
        <v>7</v>
      </c>
      <c r="BC3" s="12">
        <v>1</v>
      </c>
      <c r="BD3" s="13"/>
      <c r="BE3" s="16">
        <f>SUM(RelevéHeuresChantiersParMois!BE4:BG4)</f>
        <v>7</v>
      </c>
      <c r="BF3" s="12">
        <v>1</v>
      </c>
      <c r="BG3" s="13"/>
      <c r="BH3" s="16">
        <f>SUM(RelevéHeuresChantiersParMois!BH4:BJ4)</f>
        <v>7</v>
      </c>
      <c r="BI3" s="12">
        <v>1</v>
      </c>
      <c r="BJ3" s="13"/>
      <c r="BK3" s="16">
        <f>SUM(RelevéHeuresChantiersParMois!BK4:BM4)</f>
        <v>7</v>
      </c>
      <c r="BL3" s="12">
        <v>1</v>
      </c>
      <c r="BM3" s="13"/>
      <c r="BN3" s="16">
        <f>SUM(RelevéHeuresChantiersParMois!BN4:BP4)</f>
        <v>0</v>
      </c>
      <c r="BO3" s="12">
        <v>1</v>
      </c>
      <c r="BP3" s="13"/>
      <c r="BQ3" s="1207"/>
      <c r="BR3" s="14">
        <f>A3</f>
        <v>1</v>
      </c>
      <c r="BS3" s="15" t="str">
        <f ca="1">B3</f>
        <v>BOISSELET Jean Loup</v>
      </c>
      <c r="BT3" s="16">
        <f>SUM(C3+F3+I3+L3+O3+R3+U3+X3+AA3+AD3+AG3+AJ3+AM3+AP3+AS3+AV3+AY3+BB3+BE3+BH3+BK3+BN3)</f>
        <v>141.5</v>
      </c>
      <c r="BU3" s="17">
        <f>SUM(D3+G3+J3+M3+P3+S3+V3+Y3+AB3+AE3+AH3+AK3+AN3+AQ3+AT3+AW3+AZ3+BC3+BF3+BI3+BL3+BO3)</f>
        <v>22</v>
      </c>
      <c r="BV3" s="17">
        <f>SUM(E3+H3+K3+N3+Q3+T3+W3+Z3+AC3+AF3+AI3+AL3+AO3+AR3+AU3+AX3+BA3+BD3+BG3+BJ3+BM3+BP3)</f>
        <v>3</v>
      </c>
      <c r="BW3" s="17">
        <f>SUM(BT3+BU3)</f>
        <v>163.5</v>
      </c>
      <c r="BX3" s="99">
        <v>1</v>
      </c>
      <c r="BY3" s="41">
        <f>SUM(BaseDeDonnéesSalariés!L2)</f>
        <v>9</v>
      </c>
      <c r="BZ3" s="44">
        <f>SUM(BW3*BY3)</f>
        <v>1471.5</v>
      </c>
      <c r="CA3" s="1212"/>
      <c r="CB3" s="46" t="str">
        <f>+BaseDeDonnéesClients!B3</f>
        <v>Commune MONTMELIAN</v>
      </c>
      <c r="CC3" s="17"/>
      <c r="CD3" s="62"/>
    </row>
    <row r="4" spans="1:82" ht="20.100000000000001" customHeight="1" thickTop="1" thickBot="1">
      <c r="A4" s="19">
        <f>RelevéHeuresChantiersParMois!A5</f>
        <v>2</v>
      </c>
      <c r="B4" s="50" t="str">
        <f ca="1">RelevéHeuresChantiersParMois!B5</f>
        <v>BUEVOZ Eve</v>
      </c>
      <c r="C4" s="20">
        <f>SUM(RelevéHeuresChantiersParMois!C5:E5)</f>
        <v>6.5</v>
      </c>
      <c r="D4" s="10"/>
      <c r="E4" s="11"/>
      <c r="F4" s="20">
        <f>SUM(RelevéHeuresChantiersParMois!F5:H5)</f>
        <v>4</v>
      </c>
      <c r="G4" s="10"/>
      <c r="H4" s="11"/>
      <c r="I4" s="20">
        <f>SUM(RelevéHeuresChantiersParMois!I5:K5)</f>
        <v>7</v>
      </c>
      <c r="J4" s="10"/>
      <c r="K4" s="11"/>
      <c r="L4" s="20">
        <f>SUM(RelevéHeuresChantiersParMois!L5:N5)</f>
        <v>5</v>
      </c>
      <c r="M4" s="10"/>
      <c r="N4" s="11"/>
      <c r="O4" s="20">
        <f>SUM(RelevéHeuresChantiersParMois!O5:Q5)</f>
        <v>7</v>
      </c>
      <c r="P4" s="10"/>
      <c r="Q4" s="11"/>
      <c r="R4" s="20">
        <f>SUM(RelevéHeuresChantiersParMois!R5:T5)</f>
        <v>7</v>
      </c>
      <c r="S4" s="10"/>
      <c r="T4" s="11"/>
      <c r="U4" s="20">
        <f>SUM(RelevéHeuresChantiersParMois!U5:W5)</f>
        <v>7</v>
      </c>
      <c r="V4" s="10"/>
      <c r="W4" s="11"/>
      <c r="X4" s="20">
        <f>SUM(RelevéHeuresChantiersParMois!X5:Z5)</f>
        <v>7</v>
      </c>
      <c r="Y4" s="10"/>
      <c r="Z4" s="11"/>
      <c r="AA4" s="20">
        <f>SUM(RelevéHeuresChantiersParMois!AA5:AC5)</f>
        <v>7</v>
      </c>
      <c r="AB4" s="10"/>
      <c r="AC4" s="11"/>
      <c r="AD4" s="20">
        <f>SUM(RelevéHeuresChantiersParMois!AD5:AF5)</f>
        <v>7</v>
      </c>
      <c r="AE4" s="10"/>
      <c r="AF4" s="11"/>
      <c r="AG4" s="20">
        <f>SUM(RelevéHeuresChantiersParMois!AG5:AI5)</f>
        <v>7</v>
      </c>
      <c r="AH4" s="10"/>
      <c r="AI4" s="11"/>
      <c r="AJ4" s="20">
        <f>SUM(RelevéHeuresChantiersParMois!AJ5:AL5)</f>
        <v>7</v>
      </c>
      <c r="AK4" s="10"/>
      <c r="AL4" s="11"/>
      <c r="AM4" s="20">
        <f>SUM(RelevéHeuresChantiersParMois!AM5:AO5)</f>
        <v>7</v>
      </c>
      <c r="AN4" s="10"/>
      <c r="AO4" s="11"/>
      <c r="AP4" s="20">
        <f>SUM(RelevéHeuresChantiersParMois!AP5:AR5)</f>
        <v>7</v>
      </c>
      <c r="AQ4" s="10"/>
      <c r="AR4" s="11"/>
      <c r="AS4" s="20">
        <f>SUM(RelevéHeuresChantiersParMois!AS5:AU5)</f>
        <v>7</v>
      </c>
      <c r="AT4" s="10"/>
      <c r="AU4" s="11"/>
      <c r="AV4" s="20">
        <f>SUM(RelevéHeuresChantiersParMois!AV5:AX5)</f>
        <v>7</v>
      </c>
      <c r="AW4" s="10"/>
      <c r="AX4" s="11"/>
      <c r="AY4" s="20">
        <f>SUM(RelevéHeuresChantiersParMois!AY5:BA5)</f>
        <v>7</v>
      </c>
      <c r="AZ4" s="10"/>
      <c r="BA4" s="11"/>
      <c r="BB4" s="20">
        <f>SUM(RelevéHeuresChantiersParMois!BB5:BD5)</f>
        <v>7</v>
      </c>
      <c r="BC4" s="10"/>
      <c r="BD4" s="11"/>
      <c r="BE4" s="20">
        <f>SUM(RelevéHeuresChantiersParMois!BE5:BG5)</f>
        <v>7</v>
      </c>
      <c r="BF4" s="10"/>
      <c r="BG4" s="11"/>
      <c r="BH4" s="20">
        <f>SUM(RelevéHeuresChantiersParMois!BH5:BJ5)</f>
        <v>7</v>
      </c>
      <c r="BI4" s="10"/>
      <c r="BJ4" s="11"/>
      <c r="BK4" s="20">
        <f>SUM(RelevéHeuresChantiersParMois!BK5:BM5)</f>
        <v>7</v>
      </c>
      <c r="BL4" s="10"/>
      <c r="BM4" s="11"/>
      <c r="BN4" s="20">
        <f>SUM(RelevéHeuresChantiersParMois!BN5:BP5)</f>
        <v>0</v>
      </c>
      <c r="BO4" s="10"/>
      <c r="BP4" s="11"/>
      <c r="BQ4" s="1207"/>
      <c r="BR4" s="19">
        <f t="shared" ref="BR4:BR21" si="0">A4</f>
        <v>2</v>
      </c>
      <c r="BS4" s="50" t="str">
        <f t="shared" ref="BS4:BS21" ca="1" si="1">B4</f>
        <v>BUEVOZ Eve</v>
      </c>
      <c r="BT4" s="20">
        <f t="shared" ref="BT4:BT21" si="2">SUM(C4+F4+I4+L4+O4+R4+U4+X4+AA4+AD4+AG4+AJ4+AM4+AP4+AS4+AV4+AY4+BB4+BE4+BH4+BK4+BN4)</f>
        <v>141.5</v>
      </c>
      <c r="BU4" s="21">
        <f t="shared" ref="BU4:BU21" si="3">SUM(D4+G4+J4+M4+P4+S4+V4+Y4+AB4+AE4+AH4+AK4+AN4+AQ4+AT4+AW4+AZ4+BC4+BF4+BI4+BL4+BO4)</f>
        <v>0</v>
      </c>
      <c r="BV4" s="21">
        <f t="shared" ref="BV4:BV21" si="4">SUM(E4+H4+K4+N4+Q4+T4+W4+Z4+AC4+AF4+AI4+AL4+AO4+AR4+AU4+AX4+BA4+BD4+BG4+BJ4+BM4+BP4)</f>
        <v>0</v>
      </c>
      <c r="BW4" s="21">
        <f t="shared" ref="BW4:BW21" si="5">SUM(BT4+BU4)</f>
        <v>141.5</v>
      </c>
      <c r="BX4" s="100">
        <v>1</v>
      </c>
      <c r="BY4" s="42">
        <f>SUM(BaseDeDonnéesSalariés!L3)</f>
        <v>9</v>
      </c>
      <c r="BZ4" s="45">
        <f t="shared" ref="BZ4:BZ21" si="6">SUM(BW4*BY4)</f>
        <v>1273.5</v>
      </c>
      <c r="CA4" s="1212"/>
      <c r="CB4" s="120" t="str">
        <f>+BaseDeDonnéesClients!B4</f>
        <v>Com ST PIERRE ALBIGNY</v>
      </c>
      <c r="CC4" s="21"/>
      <c r="CD4" s="63"/>
    </row>
    <row r="5" spans="1:82" ht="20.100000000000001" customHeight="1" thickTop="1" thickBot="1">
      <c r="A5" s="19">
        <f>RelevéHeuresChantiersParMois!A6</f>
        <v>3</v>
      </c>
      <c r="B5" s="50" t="str">
        <f ca="1">RelevéHeuresChantiersParMois!B6</f>
        <v>CHALAND Christine</v>
      </c>
      <c r="C5" s="20">
        <f>SUM(RelevéHeuresChantiersParMois!C6:E6)</f>
        <v>6.5</v>
      </c>
      <c r="D5" s="10"/>
      <c r="E5" s="11"/>
      <c r="F5" s="20">
        <f>SUM(RelevéHeuresChantiersParMois!F6:H6)</f>
        <v>4</v>
      </c>
      <c r="G5" s="10"/>
      <c r="H5" s="11"/>
      <c r="I5" s="20">
        <f>SUM(RelevéHeuresChantiersParMois!I6:K6)</f>
        <v>7</v>
      </c>
      <c r="J5" s="10"/>
      <c r="K5" s="11"/>
      <c r="L5" s="20">
        <f>SUM(RelevéHeuresChantiersParMois!L6:N6)</f>
        <v>5</v>
      </c>
      <c r="M5" s="10"/>
      <c r="N5" s="11"/>
      <c r="O5" s="20">
        <f>SUM(RelevéHeuresChantiersParMois!O6:Q6)</f>
        <v>7</v>
      </c>
      <c r="P5" s="10"/>
      <c r="Q5" s="11"/>
      <c r="R5" s="20">
        <f>SUM(RelevéHeuresChantiersParMois!R6:T6)</f>
        <v>7</v>
      </c>
      <c r="S5" s="10"/>
      <c r="T5" s="11"/>
      <c r="U5" s="20">
        <f>SUM(RelevéHeuresChantiersParMois!U6:W6)</f>
        <v>7</v>
      </c>
      <c r="V5" s="10"/>
      <c r="W5" s="11"/>
      <c r="X5" s="20">
        <f>SUM(RelevéHeuresChantiersParMois!X6:Z6)</f>
        <v>7</v>
      </c>
      <c r="Y5" s="10"/>
      <c r="Z5" s="11"/>
      <c r="AA5" s="20">
        <f>SUM(RelevéHeuresChantiersParMois!AA6:AC6)</f>
        <v>7</v>
      </c>
      <c r="AB5" s="10"/>
      <c r="AC5" s="11"/>
      <c r="AD5" s="20">
        <f>SUM(RelevéHeuresChantiersParMois!AD6:AF6)</f>
        <v>7</v>
      </c>
      <c r="AE5" s="10"/>
      <c r="AF5" s="11"/>
      <c r="AG5" s="20">
        <f>SUM(RelevéHeuresChantiersParMois!AG6:AI6)</f>
        <v>7</v>
      </c>
      <c r="AH5" s="10"/>
      <c r="AI5" s="11"/>
      <c r="AJ5" s="20">
        <f>SUM(RelevéHeuresChantiersParMois!AJ6:AL6)</f>
        <v>7</v>
      </c>
      <c r="AK5" s="10"/>
      <c r="AL5" s="11"/>
      <c r="AM5" s="20">
        <f>SUM(RelevéHeuresChantiersParMois!AM6:AO6)</f>
        <v>7</v>
      </c>
      <c r="AN5" s="10"/>
      <c r="AO5" s="11"/>
      <c r="AP5" s="20">
        <f>SUM(RelevéHeuresChantiersParMois!AP6:AR6)</f>
        <v>7</v>
      </c>
      <c r="AQ5" s="10"/>
      <c r="AR5" s="11"/>
      <c r="AS5" s="20">
        <f>SUM(RelevéHeuresChantiersParMois!AS6:AU6)</f>
        <v>7</v>
      </c>
      <c r="AT5" s="10"/>
      <c r="AU5" s="11"/>
      <c r="AV5" s="20">
        <f>SUM(RelevéHeuresChantiersParMois!AV6:AX6)</f>
        <v>7</v>
      </c>
      <c r="AW5" s="10"/>
      <c r="AX5" s="11"/>
      <c r="AY5" s="20">
        <f>SUM(RelevéHeuresChantiersParMois!AY6:BA6)</f>
        <v>7</v>
      </c>
      <c r="AZ5" s="10"/>
      <c r="BA5" s="11"/>
      <c r="BB5" s="20">
        <f>SUM(RelevéHeuresChantiersParMois!BB6:BD6)</f>
        <v>7</v>
      </c>
      <c r="BC5" s="10"/>
      <c r="BD5" s="11"/>
      <c r="BE5" s="20">
        <f>SUM(RelevéHeuresChantiersParMois!BE6:BG6)</f>
        <v>7</v>
      </c>
      <c r="BF5" s="10"/>
      <c r="BG5" s="11"/>
      <c r="BH5" s="20">
        <f>SUM(RelevéHeuresChantiersParMois!BH6:BJ6)</f>
        <v>7</v>
      </c>
      <c r="BI5" s="10"/>
      <c r="BJ5" s="11"/>
      <c r="BK5" s="20">
        <f>SUM(RelevéHeuresChantiersParMois!BK6:BM6)</f>
        <v>7</v>
      </c>
      <c r="BL5" s="10"/>
      <c r="BM5" s="11"/>
      <c r="BN5" s="20">
        <f>SUM(RelevéHeuresChantiersParMois!BN6:BP6)</f>
        <v>0</v>
      </c>
      <c r="BO5" s="10"/>
      <c r="BP5" s="11"/>
      <c r="BQ5" s="1207"/>
      <c r="BR5" s="19">
        <f t="shared" si="0"/>
        <v>3</v>
      </c>
      <c r="BS5" s="50" t="str">
        <f t="shared" ca="1" si="1"/>
        <v>CHALAND Christine</v>
      </c>
      <c r="BT5" s="20">
        <f t="shared" si="2"/>
        <v>141.5</v>
      </c>
      <c r="BU5" s="21">
        <f t="shared" si="3"/>
        <v>0</v>
      </c>
      <c r="BV5" s="21">
        <f t="shared" si="4"/>
        <v>0</v>
      </c>
      <c r="BW5" s="21">
        <f t="shared" si="5"/>
        <v>141.5</v>
      </c>
      <c r="BX5" s="100">
        <v>1</v>
      </c>
      <c r="BY5" s="42">
        <f>SUM(BaseDeDonnéesSalariés!L4)</f>
        <v>9</v>
      </c>
      <c r="BZ5" s="45">
        <f t="shared" si="6"/>
        <v>1273.5</v>
      </c>
      <c r="CA5" s="1212"/>
      <c r="CB5" s="120" t="str">
        <f>+BaseDeDonnéesClients!B5</f>
        <v>Communauté Com</v>
      </c>
      <c r="CC5" s="21"/>
      <c r="CD5" s="63"/>
    </row>
    <row r="6" spans="1:82" ht="20.100000000000001" customHeight="1" thickTop="1" thickBot="1">
      <c r="A6" s="19">
        <f>RelevéHeuresChantiersParMois!A7</f>
        <v>4</v>
      </c>
      <c r="B6" s="50" t="str">
        <f ca="1">RelevéHeuresChantiersParMois!B7</f>
        <v>CHASSANDE Michel</v>
      </c>
      <c r="C6" s="20">
        <f>SUM(RelevéHeuresChantiersParMois!C7:E7)</f>
        <v>6.5</v>
      </c>
      <c r="D6" s="10"/>
      <c r="E6" s="11"/>
      <c r="F6" s="20">
        <f>SUM(RelevéHeuresChantiersParMois!F7:H7)</f>
        <v>4</v>
      </c>
      <c r="G6" s="10"/>
      <c r="H6" s="11"/>
      <c r="I6" s="20">
        <f>SUM(RelevéHeuresChantiersParMois!I7:K7)</f>
        <v>7</v>
      </c>
      <c r="J6" s="10"/>
      <c r="K6" s="11"/>
      <c r="L6" s="20">
        <f>SUM(RelevéHeuresChantiersParMois!L7:N7)</f>
        <v>5</v>
      </c>
      <c r="M6" s="10"/>
      <c r="N6" s="11"/>
      <c r="O6" s="20">
        <f>SUM(RelevéHeuresChantiersParMois!O7:Q7)</f>
        <v>7</v>
      </c>
      <c r="P6" s="10"/>
      <c r="Q6" s="11"/>
      <c r="R6" s="20">
        <f>SUM(RelevéHeuresChantiersParMois!R7:T7)</f>
        <v>7</v>
      </c>
      <c r="S6" s="10"/>
      <c r="T6" s="11"/>
      <c r="U6" s="20">
        <f>SUM(RelevéHeuresChantiersParMois!U7:W7)</f>
        <v>7</v>
      </c>
      <c r="V6" s="10"/>
      <c r="W6" s="11"/>
      <c r="X6" s="20">
        <f>SUM(RelevéHeuresChantiersParMois!X7:Z7)</f>
        <v>7</v>
      </c>
      <c r="Y6" s="10"/>
      <c r="Z6" s="11"/>
      <c r="AA6" s="20">
        <f>SUM(RelevéHeuresChantiersParMois!AA7:AC7)</f>
        <v>7</v>
      </c>
      <c r="AB6" s="10"/>
      <c r="AC6" s="11"/>
      <c r="AD6" s="20">
        <f>SUM(RelevéHeuresChantiersParMois!AD7:AF7)</f>
        <v>7</v>
      </c>
      <c r="AE6" s="10"/>
      <c r="AF6" s="11"/>
      <c r="AG6" s="20">
        <f>SUM(RelevéHeuresChantiersParMois!AG7:AI7)</f>
        <v>7</v>
      </c>
      <c r="AH6" s="10"/>
      <c r="AI6" s="11"/>
      <c r="AJ6" s="20">
        <f>SUM(RelevéHeuresChantiersParMois!AJ7:AL7)</f>
        <v>7</v>
      </c>
      <c r="AK6" s="10"/>
      <c r="AL6" s="11"/>
      <c r="AM6" s="20">
        <f>SUM(RelevéHeuresChantiersParMois!AM7:AO7)</f>
        <v>7</v>
      </c>
      <c r="AN6" s="10"/>
      <c r="AO6" s="11"/>
      <c r="AP6" s="20">
        <f>SUM(RelevéHeuresChantiersParMois!AP7:AR7)</f>
        <v>7</v>
      </c>
      <c r="AQ6" s="10"/>
      <c r="AR6" s="11"/>
      <c r="AS6" s="20">
        <f>SUM(RelevéHeuresChantiersParMois!AS7:AU7)</f>
        <v>7</v>
      </c>
      <c r="AT6" s="10"/>
      <c r="AU6" s="11"/>
      <c r="AV6" s="20">
        <f>SUM(RelevéHeuresChantiersParMois!AV7:AX7)</f>
        <v>7</v>
      </c>
      <c r="AW6" s="10"/>
      <c r="AX6" s="11"/>
      <c r="AY6" s="20">
        <f>SUM(RelevéHeuresChantiersParMois!AY7:BA7)</f>
        <v>7</v>
      </c>
      <c r="AZ6" s="10"/>
      <c r="BA6" s="11"/>
      <c r="BB6" s="20">
        <f>SUM(RelevéHeuresChantiersParMois!BB7:BD7)</f>
        <v>7</v>
      </c>
      <c r="BC6" s="10"/>
      <c r="BD6" s="11"/>
      <c r="BE6" s="20">
        <f>SUM(RelevéHeuresChantiersParMois!BE7:BG7)</f>
        <v>7</v>
      </c>
      <c r="BF6" s="10"/>
      <c r="BG6" s="11"/>
      <c r="BH6" s="20">
        <f>SUM(RelevéHeuresChantiersParMois!BH7:BJ7)</f>
        <v>7</v>
      </c>
      <c r="BI6" s="10"/>
      <c r="BJ6" s="11"/>
      <c r="BK6" s="20">
        <f>SUM(RelevéHeuresChantiersParMois!BK7:BM7)</f>
        <v>7</v>
      </c>
      <c r="BL6" s="10"/>
      <c r="BM6" s="11"/>
      <c r="BN6" s="20">
        <f>SUM(RelevéHeuresChantiersParMois!BN7:BP7)</f>
        <v>0</v>
      </c>
      <c r="BO6" s="10"/>
      <c r="BP6" s="11"/>
      <c r="BQ6" s="1207"/>
      <c r="BR6" s="19">
        <f t="shared" si="0"/>
        <v>4</v>
      </c>
      <c r="BS6" s="50" t="str">
        <f t="shared" ca="1" si="1"/>
        <v>CHASSANDE Michel</v>
      </c>
      <c r="BT6" s="20">
        <f t="shared" si="2"/>
        <v>141.5</v>
      </c>
      <c r="BU6" s="21">
        <f t="shared" si="3"/>
        <v>0</v>
      </c>
      <c r="BV6" s="21">
        <f t="shared" si="4"/>
        <v>0</v>
      </c>
      <c r="BW6" s="21">
        <f t="shared" si="5"/>
        <v>141.5</v>
      </c>
      <c r="BX6" s="100">
        <v>1</v>
      </c>
      <c r="BY6" s="42">
        <f>SUM(BaseDeDonnéesSalariés!L5)</f>
        <v>0</v>
      </c>
      <c r="BZ6" s="45">
        <f t="shared" si="6"/>
        <v>0</v>
      </c>
      <c r="CA6" s="1212"/>
      <c r="CB6" s="120" t="str">
        <f>+BaseDeDonnéesClients!B6</f>
        <v>VERDIER Michel</v>
      </c>
      <c r="CC6" s="21"/>
      <c r="CD6" s="63"/>
    </row>
    <row r="7" spans="1:82" ht="20.100000000000001" customHeight="1" thickTop="1" thickBot="1">
      <c r="A7" s="19">
        <f>RelevéHeuresChantiersParMois!A8</f>
        <v>5</v>
      </c>
      <c r="B7" s="50" t="str">
        <f ca="1">RelevéHeuresChantiersParMois!B8</f>
        <v>DEVERCHERE Anne</v>
      </c>
      <c r="C7" s="20">
        <f>SUM(RelevéHeuresChantiersParMois!C8:E8)</f>
        <v>6.5</v>
      </c>
      <c r="D7" s="10"/>
      <c r="E7" s="11"/>
      <c r="F7" s="20">
        <f>SUM(RelevéHeuresChantiersParMois!F8:H8)</f>
        <v>4</v>
      </c>
      <c r="G7" s="10"/>
      <c r="H7" s="11"/>
      <c r="I7" s="20">
        <f>SUM(RelevéHeuresChantiersParMois!I8:K8)</f>
        <v>7</v>
      </c>
      <c r="J7" s="10"/>
      <c r="K7" s="11"/>
      <c r="L7" s="20">
        <f>SUM(RelevéHeuresChantiersParMois!L8:N8)</f>
        <v>5</v>
      </c>
      <c r="M7" s="10"/>
      <c r="N7" s="11"/>
      <c r="O7" s="20">
        <f>SUM(RelevéHeuresChantiersParMois!O8:Q8)</f>
        <v>7</v>
      </c>
      <c r="P7" s="10"/>
      <c r="Q7" s="11"/>
      <c r="R7" s="20">
        <f>SUM(RelevéHeuresChantiersParMois!R8:T8)</f>
        <v>7</v>
      </c>
      <c r="S7" s="10"/>
      <c r="T7" s="11"/>
      <c r="U7" s="20">
        <f>SUM(RelevéHeuresChantiersParMois!U8:W8)</f>
        <v>7</v>
      </c>
      <c r="V7" s="10"/>
      <c r="W7" s="11"/>
      <c r="X7" s="20">
        <f>SUM(RelevéHeuresChantiersParMois!X8:Z8)</f>
        <v>7</v>
      </c>
      <c r="Y7" s="10"/>
      <c r="Z7" s="11"/>
      <c r="AA7" s="20">
        <f>SUM(RelevéHeuresChantiersParMois!AA8:AC8)</f>
        <v>7</v>
      </c>
      <c r="AB7" s="10"/>
      <c r="AC7" s="11"/>
      <c r="AD7" s="20">
        <f>SUM(RelevéHeuresChantiersParMois!AD8:AF8)</f>
        <v>7</v>
      </c>
      <c r="AE7" s="10"/>
      <c r="AF7" s="11"/>
      <c r="AG7" s="20">
        <f>SUM(RelevéHeuresChantiersParMois!AG8:AI8)</f>
        <v>7</v>
      </c>
      <c r="AH7" s="10"/>
      <c r="AI7" s="11"/>
      <c r="AJ7" s="20">
        <f>SUM(RelevéHeuresChantiersParMois!AJ8:AL8)</f>
        <v>7</v>
      </c>
      <c r="AK7" s="10"/>
      <c r="AL7" s="11"/>
      <c r="AM7" s="20">
        <f>SUM(RelevéHeuresChantiersParMois!AM8:AO8)</f>
        <v>7</v>
      </c>
      <c r="AN7" s="10"/>
      <c r="AO7" s="11"/>
      <c r="AP7" s="20">
        <f>SUM(RelevéHeuresChantiersParMois!AP8:AR8)</f>
        <v>7</v>
      </c>
      <c r="AQ7" s="10"/>
      <c r="AR7" s="11"/>
      <c r="AS7" s="20">
        <f>SUM(RelevéHeuresChantiersParMois!AS8:AU8)</f>
        <v>7</v>
      </c>
      <c r="AT7" s="10"/>
      <c r="AU7" s="11"/>
      <c r="AV7" s="20">
        <f>SUM(RelevéHeuresChantiersParMois!AV8:AX8)</f>
        <v>7</v>
      </c>
      <c r="AW7" s="10"/>
      <c r="AX7" s="11"/>
      <c r="AY7" s="20">
        <f>SUM(RelevéHeuresChantiersParMois!AY8:BA8)</f>
        <v>7</v>
      </c>
      <c r="AZ7" s="10"/>
      <c r="BA7" s="11"/>
      <c r="BB7" s="20">
        <f>SUM(RelevéHeuresChantiersParMois!BB8:BD8)</f>
        <v>7</v>
      </c>
      <c r="BC7" s="10"/>
      <c r="BD7" s="11"/>
      <c r="BE7" s="20">
        <f>SUM(RelevéHeuresChantiersParMois!BE8:BG8)</f>
        <v>7</v>
      </c>
      <c r="BF7" s="10"/>
      <c r="BG7" s="11"/>
      <c r="BH7" s="20">
        <f>SUM(RelevéHeuresChantiersParMois!BH8:BJ8)</f>
        <v>7</v>
      </c>
      <c r="BI7" s="10"/>
      <c r="BJ7" s="11"/>
      <c r="BK7" s="20">
        <f>SUM(RelevéHeuresChantiersParMois!BK8:BM8)</f>
        <v>7</v>
      </c>
      <c r="BL7" s="10"/>
      <c r="BM7" s="11"/>
      <c r="BN7" s="20">
        <f>SUM(RelevéHeuresChantiersParMois!BN8:BP8)</f>
        <v>0</v>
      </c>
      <c r="BO7" s="10"/>
      <c r="BP7" s="11"/>
      <c r="BQ7" s="1207"/>
      <c r="BR7" s="19">
        <f t="shared" si="0"/>
        <v>5</v>
      </c>
      <c r="BS7" s="50" t="str">
        <f t="shared" ca="1" si="1"/>
        <v>DEVERCHERE Anne</v>
      </c>
      <c r="BT7" s="20">
        <f t="shared" si="2"/>
        <v>141.5</v>
      </c>
      <c r="BU7" s="21">
        <f t="shared" si="3"/>
        <v>0</v>
      </c>
      <c r="BV7" s="21">
        <f t="shared" si="4"/>
        <v>0</v>
      </c>
      <c r="BW7" s="21">
        <f t="shared" si="5"/>
        <v>141.5</v>
      </c>
      <c r="BX7" s="100">
        <v>1</v>
      </c>
      <c r="BY7" s="42">
        <f>SUM(BaseDeDonnéesSalariés!L6)</f>
        <v>0</v>
      </c>
      <c r="BZ7" s="45">
        <f t="shared" si="6"/>
        <v>0</v>
      </c>
      <c r="CA7" s="1212"/>
      <c r="CB7" s="46" t="str">
        <f>+BaseDeDonnéesClients!B7</f>
        <v>LENOIR Hervé</v>
      </c>
      <c r="CC7" s="21"/>
      <c r="CD7" s="63"/>
    </row>
    <row r="8" spans="1:82" ht="20.100000000000001" customHeight="1" thickTop="1" thickBot="1">
      <c r="A8" s="19">
        <f>RelevéHeuresChantiersParMois!A9</f>
        <v>6</v>
      </c>
      <c r="B8" s="50" t="str">
        <f ca="1">RelevéHeuresChantiersParMois!B9</f>
        <v>DUPOND Geneviève</v>
      </c>
      <c r="C8" s="20">
        <f>SUM(RelevéHeuresChantiersParMois!C9:E9)</f>
        <v>6.5</v>
      </c>
      <c r="D8" s="10"/>
      <c r="E8" s="11"/>
      <c r="F8" s="20">
        <f>SUM(RelevéHeuresChantiersParMois!F9:H9)</f>
        <v>4</v>
      </c>
      <c r="G8" s="10"/>
      <c r="H8" s="11"/>
      <c r="I8" s="20">
        <f>SUM(RelevéHeuresChantiersParMois!I9:K9)</f>
        <v>7</v>
      </c>
      <c r="J8" s="10"/>
      <c r="K8" s="11"/>
      <c r="L8" s="20">
        <f>SUM(RelevéHeuresChantiersParMois!L9:N9)</f>
        <v>5</v>
      </c>
      <c r="M8" s="10"/>
      <c r="N8" s="11"/>
      <c r="O8" s="20">
        <f>SUM(RelevéHeuresChantiersParMois!O9:Q9)</f>
        <v>7</v>
      </c>
      <c r="P8" s="10"/>
      <c r="Q8" s="11"/>
      <c r="R8" s="20">
        <f>SUM(RelevéHeuresChantiersParMois!R9:T9)</f>
        <v>7</v>
      </c>
      <c r="S8" s="10"/>
      <c r="T8" s="11"/>
      <c r="U8" s="20">
        <f>SUM(RelevéHeuresChantiersParMois!U9:W9)</f>
        <v>7</v>
      </c>
      <c r="V8" s="10"/>
      <c r="W8" s="11"/>
      <c r="X8" s="20">
        <f>SUM(RelevéHeuresChantiersParMois!X9:Z9)</f>
        <v>7</v>
      </c>
      <c r="Y8" s="10"/>
      <c r="Z8" s="11"/>
      <c r="AA8" s="20">
        <f>SUM(RelevéHeuresChantiersParMois!AA9:AC9)</f>
        <v>7</v>
      </c>
      <c r="AB8" s="10"/>
      <c r="AC8" s="11"/>
      <c r="AD8" s="20">
        <f>SUM(RelevéHeuresChantiersParMois!AD9:AF9)</f>
        <v>7</v>
      </c>
      <c r="AE8" s="10"/>
      <c r="AF8" s="11"/>
      <c r="AG8" s="20">
        <f>SUM(RelevéHeuresChantiersParMois!AG9:AI9)</f>
        <v>7</v>
      </c>
      <c r="AH8" s="10"/>
      <c r="AI8" s="11"/>
      <c r="AJ8" s="20">
        <f>SUM(RelevéHeuresChantiersParMois!AJ9:AL9)</f>
        <v>7</v>
      </c>
      <c r="AK8" s="10"/>
      <c r="AL8" s="11"/>
      <c r="AM8" s="20">
        <f>SUM(RelevéHeuresChantiersParMois!AM9:AO9)</f>
        <v>7</v>
      </c>
      <c r="AN8" s="10"/>
      <c r="AO8" s="11"/>
      <c r="AP8" s="20">
        <f>SUM(RelevéHeuresChantiersParMois!AP9:AR9)</f>
        <v>7</v>
      </c>
      <c r="AQ8" s="10"/>
      <c r="AR8" s="11"/>
      <c r="AS8" s="20">
        <f>SUM(RelevéHeuresChantiersParMois!AS9:AU9)</f>
        <v>7</v>
      </c>
      <c r="AT8" s="10"/>
      <c r="AU8" s="11"/>
      <c r="AV8" s="20">
        <f>SUM(RelevéHeuresChantiersParMois!AV9:AX9)</f>
        <v>7</v>
      </c>
      <c r="AW8" s="10"/>
      <c r="AX8" s="11"/>
      <c r="AY8" s="20">
        <f>SUM(RelevéHeuresChantiersParMois!AY9:BA9)</f>
        <v>7</v>
      </c>
      <c r="AZ8" s="10"/>
      <c r="BA8" s="11"/>
      <c r="BB8" s="20">
        <f>SUM(RelevéHeuresChantiersParMois!BB9:BD9)</f>
        <v>7</v>
      </c>
      <c r="BC8" s="10"/>
      <c r="BD8" s="11"/>
      <c r="BE8" s="20">
        <f>SUM(RelevéHeuresChantiersParMois!BE9:BG9)</f>
        <v>7</v>
      </c>
      <c r="BF8" s="10"/>
      <c r="BG8" s="11"/>
      <c r="BH8" s="20">
        <f>SUM(RelevéHeuresChantiersParMois!BH9:BJ9)</f>
        <v>7</v>
      </c>
      <c r="BI8" s="10"/>
      <c r="BJ8" s="11"/>
      <c r="BK8" s="20">
        <f>SUM(RelevéHeuresChantiersParMois!BK9:BM9)</f>
        <v>7</v>
      </c>
      <c r="BL8" s="10"/>
      <c r="BM8" s="11"/>
      <c r="BN8" s="20">
        <f>SUM(RelevéHeuresChantiersParMois!BN9:BP9)</f>
        <v>0</v>
      </c>
      <c r="BO8" s="10"/>
      <c r="BP8" s="11"/>
      <c r="BQ8" s="1207"/>
      <c r="BR8" s="19">
        <f t="shared" si="0"/>
        <v>6</v>
      </c>
      <c r="BS8" s="50" t="str">
        <f t="shared" ca="1" si="1"/>
        <v>DUPOND Geneviève</v>
      </c>
      <c r="BT8" s="20">
        <f t="shared" si="2"/>
        <v>141.5</v>
      </c>
      <c r="BU8" s="21">
        <f t="shared" si="3"/>
        <v>0</v>
      </c>
      <c r="BV8" s="21">
        <f t="shared" si="4"/>
        <v>0</v>
      </c>
      <c r="BW8" s="21">
        <f t="shared" si="5"/>
        <v>141.5</v>
      </c>
      <c r="BX8" s="100">
        <v>1</v>
      </c>
      <c r="BY8" s="42">
        <f>SUM(BaseDeDonnéesSalariés!L7)</f>
        <v>0</v>
      </c>
      <c r="BZ8" s="45">
        <f t="shared" si="6"/>
        <v>0</v>
      </c>
      <c r="CA8" s="1212"/>
      <c r="CB8" s="51"/>
      <c r="CC8" s="21"/>
      <c r="CD8" s="63"/>
    </row>
    <row r="9" spans="1:82" ht="20.100000000000001" customHeight="1" thickTop="1" thickBot="1">
      <c r="A9" s="19">
        <f>RelevéHeuresChantiersParMois!A10</f>
        <v>7</v>
      </c>
      <c r="B9" s="50" t="str">
        <f ca="1">RelevéHeuresChantiersParMois!B10</f>
        <v>ESCULIER Claire</v>
      </c>
      <c r="C9" s="20">
        <f>SUM(RelevéHeuresChantiersParMois!C10:E10)</f>
        <v>6.5</v>
      </c>
      <c r="D9" s="10"/>
      <c r="E9" s="11"/>
      <c r="F9" s="20">
        <f>SUM(RelevéHeuresChantiersParMois!F10:H10)</f>
        <v>4</v>
      </c>
      <c r="G9" s="10"/>
      <c r="H9" s="11"/>
      <c r="I9" s="20">
        <f>SUM(RelevéHeuresChantiersParMois!I10:K10)</f>
        <v>7</v>
      </c>
      <c r="J9" s="10"/>
      <c r="K9" s="11"/>
      <c r="L9" s="20">
        <f>SUM(RelevéHeuresChantiersParMois!L10:N10)</f>
        <v>5</v>
      </c>
      <c r="M9" s="10"/>
      <c r="N9" s="11"/>
      <c r="O9" s="20">
        <f>SUM(RelevéHeuresChantiersParMois!O10:Q10)</f>
        <v>7</v>
      </c>
      <c r="P9" s="10"/>
      <c r="Q9" s="11"/>
      <c r="R9" s="20">
        <f>SUM(RelevéHeuresChantiersParMois!R10:T10)</f>
        <v>7</v>
      </c>
      <c r="S9" s="10"/>
      <c r="T9" s="11"/>
      <c r="U9" s="20">
        <f>SUM(RelevéHeuresChantiersParMois!U10:W10)</f>
        <v>7</v>
      </c>
      <c r="V9" s="10"/>
      <c r="W9" s="11"/>
      <c r="X9" s="20">
        <f>SUM(RelevéHeuresChantiersParMois!X10:Z10)</f>
        <v>7</v>
      </c>
      <c r="Y9" s="10"/>
      <c r="Z9" s="11"/>
      <c r="AA9" s="20">
        <f>SUM(RelevéHeuresChantiersParMois!AA10:AC10)</f>
        <v>7</v>
      </c>
      <c r="AB9" s="10"/>
      <c r="AC9" s="11"/>
      <c r="AD9" s="20">
        <f>SUM(RelevéHeuresChantiersParMois!AD10:AF10)</f>
        <v>7</v>
      </c>
      <c r="AE9" s="10"/>
      <c r="AF9" s="11"/>
      <c r="AG9" s="20">
        <f>SUM(RelevéHeuresChantiersParMois!AG10:AI10)</f>
        <v>7</v>
      </c>
      <c r="AH9" s="10"/>
      <c r="AI9" s="11"/>
      <c r="AJ9" s="20">
        <f>SUM(RelevéHeuresChantiersParMois!AJ10:AL10)</f>
        <v>7</v>
      </c>
      <c r="AK9" s="10"/>
      <c r="AL9" s="11"/>
      <c r="AM9" s="20">
        <f>SUM(RelevéHeuresChantiersParMois!AM10:AO10)</f>
        <v>7</v>
      </c>
      <c r="AN9" s="10"/>
      <c r="AO9" s="11"/>
      <c r="AP9" s="20">
        <f>SUM(RelevéHeuresChantiersParMois!AP10:AR10)</f>
        <v>7</v>
      </c>
      <c r="AQ9" s="10"/>
      <c r="AR9" s="11"/>
      <c r="AS9" s="20">
        <f>SUM(RelevéHeuresChantiersParMois!AS10:AU10)</f>
        <v>7</v>
      </c>
      <c r="AT9" s="10"/>
      <c r="AU9" s="11"/>
      <c r="AV9" s="20">
        <f>SUM(RelevéHeuresChantiersParMois!AV10:AX10)</f>
        <v>7</v>
      </c>
      <c r="AW9" s="10"/>
      <c r="AX9" s="11"/>
      <c r="AY9" s="20">
        <f>SUM(RelevéHeuresChantiersParMois!AY10:BA10)</f>
        <v>7</v>
      </c>
      <c r="AZ9" s="10"/>
      <c r="BA9" s="11"/>
      <c r="BB9" s="20">
        <f>SUM(RelevéHeuresChantiersParMois!BB10:BD10)</f>
        <v>7</v>
      </c>
      <c r="BC9" s="10"/>
      <c r="BD9" s="11"/>
      <c r="BE9" s="20">
        <f>SUM(RelevéHeuresChantiersParMois!BE10:BG10)</f>
        <v>7</v>
      </c>
      <c r="BF9" s="10"/>
      <c r="BG9" s="11"/>
      <c r="BH9" s="20">
        <f>SUM(RelevéHeuresChantiersParMois!BH10:BJ10)</f>
        <v>7</v>
      </c>
      <c r="BI9" s="10"/>
      <c r="BJ9" s="11"/>
      <c r="BK9" s="20">
        <f>SUM(RelevéHeuresChantiersParMois!BK10:BM10)</f>
        <v>7</v>
      </c>
      <c r="BL9" s="10"/>
      <c r="BM9" s="11"/>
      <c r="BN9" s="20">
        <f>SUM(RelevéHeuresChantiersParMois!BN10:BP10)</f>
        <v>0</v>
      </c>
      <c r="BO9" s="10"/>
      <c r="BP9" s="11"/>
      <c r="BQ9" s="1207"/>
      <c r="BR9" s="19">
        <f t="shared" si="0"/>
        <v>7</v>
      </c>
      <c r="BS9" s="50" t="str">
        <f t="shared" ca="1" si="1"/>
        <v>ESCULIER Claire</v>
      </c>
      <c r="BT9" s="20">
        <f t="shared" si="2"/>
        <v>141.5</v>
      </c>
      <c r="BU9" s="21">
        <f t="shared" si="3"/>
        <v>0</v>
      </c>
      <c r="BV9" s="21">
        <f t="shared" si="4"/>
        <v>0</v>
      </c>
      <c r="BW9" s="21">
        <f t="shared" si="5"/>
        <v>141.5</v>
      </c>
      <c r="BX9" s="100">
        <v>1</v>
      </c>
      <c r="BY9" s="42">
        <f>SUM(BaseDeDonnéesSalariés!L8)</f>
        <v>0</v>
      </c>
      <c r="BZ9" s="45">
        <f t="shared" si="6"/>
        <v>0</v>
      </c>
      <c r="CA9" s="1212"/>
      <c r="CB9" s="51"/>
      <c r="CC9" s="21"/>
      <c r="CD9" s="63"/>
    </row>
    <row r="10" spans="1:82" ht="20.100000000000001" customHeight="1" thickTop="1" thickBot="1">
      <c r="A10" s="19">
        <f>RelevéHeuresChantiersParMois!A11</f>
        <v>8</v>
      </c>
      <c r="B10" s="50" t="str">
        <f ca="1">RelevéHeuresChantiersParMois!B11</f>
        <v>FREYTAG Marie-Paule</v>
      </c>
      <c r="C10" s="20">
        <f>SUM(RelevéHeuresChantiersParMois!C11:E11)</f>
        <v>6.5</v>
      </c>
      <c r="D10" s="10"/>
      <c r="E10" s="11"/>
      <c r="F10" s="20">
        <f>SUM(RelevéHeuresChantiersParMois!F11:H11)</f>
        <v>4</v>
      </c>
      <c r="G10" s="10"/>
      <c r="H10" s="11"/>
      <c r="I10" s="20">
        <f>SUM(RelevéHeuresChantiersParMois!I11:K11)</f>
        <v>7</v>
      </c>
      <c r="J10" s="10"/>
      <c r="K10" s="11"/>
      <c r="L10" s="20">
        <f>SUM(RelevéHeuresChantiersParMois!L11:N11)</f>
        <v>5</v>
      </c>
      <c r="M10" s="10"/>
      <c r="N10" s="11"/>
      <c r="O10" s="20">
        <f>SUM(RelevéHeuresChantiersParMois!O11:Q11)</f>
        <v>7</v>
      </c>
      <c r="P10" s="10"/>
      <c r="Q10" s="11"/>
      <c r="R10" s="20">
        <f>SUM(RelevéHeuresChantiersParMois!R11:T11)</f>
        <v>7</v>
      </c>
      <c r="S10" s="10"/>
      <c r="T10" s="11"/>
      <c r="U10" s="20">
        <f>SUM(RelevéHeuresChantiersParMois!U11:W11)</f>
        <v>7</v>
      </c>
      <c r="V10" s="10"/>
      <c r="W10" s="11"/>
      <c r="X10" s="20">
        <f>SUM(RelevéHeuresChantiersParMois!X11:Z11)</f>
        <v>7</v>
      </c>
      <c r="Y10" s="10"/>
      <c r="Z10" s="11"/>
      <c r="AA10" s="20">
        <f>SUM(RelevéHeuresChantiersParMois!AA11:AC11)</f>
        <v>7</v>
      </c>
      <c r="AB10" s="10"/>
      <c r="AC10" s="11"/>
      <c r="AD10" s="20">
        <f>SUM(RelevéHeuresChantiersParMois!AD11:AF11)</f>
        <v>7</v>
      </c>
      <c r="AE10" s="10"/>
      <c r="AF10" s="11"/>
      <c r="AG10" s="20">
        <f>SUM(RelevéHeuresChantiersParMois!AG11:AI11)</f>
        <v>7</v>
      </c>
      <c r="AH10" s="10"/>
      <c r="AI10" s="11"/>
      <c r="AJ10" s="20">
        <f>SUM(RelevéHeuresChantiersParMois!AJ11:AL11)</f>
        <v>7</v>
      </c>
      <c r="AK10" s="10"/>
      <c r="AL10" s="11"/>
      <c r="AM10" s="20">
        <f>SUM(RelevéHeuresChantiersParMois!AM11:AO11)</f>
        <v>7</v>
      </c>
      <c r="AN10" s="10"/>
      <c r="AO10" s="11"/>
      <c r="AP10" s="20">
        <f>SUM(RelevéHeuresChantiersParMois!AP11:AR11)</f>
        <v>7</v>
      </c>
      <c r="AQ10" s="10"/>
      <c r="AR10" s="11"/>
      <c r="AS10" s="20">
        <f>SUM(RelevéHeuresChantiersParMois!AS11:AU11)</f>
        <v>7</v>
      </c>
      <c r="AT10" s="10"/>
      <c r="AU10" s="11"/>
      <c r="AV10" s="20">
        <f>SUM(RelevéHeuresChantiersParMois!AV11:AX11)</f>
        <v>7</v>
      </c>
      <c r="AW10" s="10"/>
      <c r="AX10" s="11"/>
      <c r="AY10" s="20">
        <f>SUM(RelevéHeuresChantiersParMois!AY11:BA11)</f>
        <v>7</v>
      </c>
      <c r="AZ10" s="10"/>
      <c r="BA10" s="11"/>
      <c r="BB10" s="20">
        <f>SUM(RelevéHeuresChantiersParMois!BB11:BD11)</f>
        <v>7</v>
      </c>
      <c r="BC10" s="10"/>
      <c r="BD10" s="11"/>
      <c r="BE10" s="20">
        <f>SUM(RelevéHeuresChantiersParMois!BE11:BG11)</f>
        <v>7</v>
      </c>
      <c r="BF10" s="10"/>
      <c r="BG10" s="11"/>
      <c r="BH10" s="20">
        <f>SUM(RelevéHeuresChantiersParMois!BH11:BJ11)</f>
        <v>7</v>
      </c>
      <c r="BI10" s="10"/>
      <c r="BJ10" s="11"/>
      <c r="BK10" s="20">
        <f>SUM(RelevéHeuresChantiersParMois!BK11:BM11)</f>
        <v>7</v>
      </c>
      <c r="BL10" s="10"/>
      <c r="BM10" s="11"/>
      <c r="BN10" s="20">
        <f>SUM(RelevéHeuresChantiersParMois!BN11:BP11)</f>
        <v>0</v>
      </c>
      <c r="BO10" s="10"/>
      <c r="BP10" s="11"/>
      <c r="BQ10" s="1207"/>
      <c r="BR10" s="19">
        <f t="shared" si="0"/>
        <v>8</v>
      </c>
      <c r="BS10" s="50" t="str">
        <f t="shared" ca="1" si="1"/>
        <v>FREYTAG Marie-Paule</v>
      </c>
      <c r="BT10" s="20">
        <f t="shared" si="2"/>
        <v>141.5</v>
      </c>
      <c r="BU10" s="21">
        <f t="shared" si="3"/>
        <v>0</v>
      </c>
      <c r="BV10" s="21">
        <f t="shared" si="4"/>
        <v>0</v>
      </c>
      <c r="BW10" s="21">
        <f t="shared" si="5"/>
        <v>141.5</v>
      </c>
      <c r="BX10" s="100">
        <v>1</v>
      </c>
      <c r="BY10" s="42">
        <f>SUM(BaseDeDonnéesSalariés!L9)</f>
        <v>0</v>
      </c>
      <c r="BZ10" s="45">
        <f t="shared" si="6"/>
        <v>0</v>
      </c>
      <c r="CA10" s="1212"/>
      <c r="CB10" s="51"/>
      <c r="CC10" s="21"/>
      <c r="CD10" s="63"/>
    </row>
    <row r="11" spans="1:82" ht="20.100000000000001" customHeight="1" thickTop="1" thickBot="1">
      <c r="A11" s="19">
        <f>RelevéHeuresChantiersParMois!A12</f>
        <v>9</v>
      </c>
      <c r="B11" s="50" t="str">
        <f ca="1">RelevéHeuresChantiersParMois!B12</f>
        <v>GOFFIC Gilles</v>
      </c>
      <c r="C11" s="20">
        <f>SUM(RelevéHeuresChantiersParMois!C12:E12)</f>
        <v>6.5</v>
      </c>
      <c r="D11" s="10"/>
      <c r="E11" s="11"/>
      <c r="F11" s="20">
        <f>SUM(RelevéHeuresChantiersParMois!F12:H12)</f>
        <v>4</v>
      </c>
      <c r="G11" s="10"/>
      <c r="H11" s="11"/>
      <c r="I11" s="20">
        <f>SUM(RelevéHeuresChantiersParMois!I12:K12)</f>
        <v>7</v>
      </c>
      <c r="J11" s="10"/>
      <c r="K11" s="11"/>
      <c r="L11" s="20">
        <f>SUM(RelevéHeuresChantiersParMois!L12:N12)</f>
        <v>5</v>
      </c>
      <c r="M11" s="10"/>
      <c r="N11" s="11"/>
      <c r="O11" s="20">
        <f>SUM(RelevéHeuresChantiersParMois!O12:Q12)</f>
        <v>7</v>
      </c>
      <c r="P11" s="10"/>
      <c r="Q11" s="11"/>
      <c r="R11" s="20">
        <f>SUM(RelevéHeuresChantiersParMois!R12:T12)</f>
        <v>7</v>
      </c>
      <c r="S11" s="10"/>
      <c r="T11" s="11"/>
      <c r="U11" s="20">
        <f>SUM(RelevéHeuresChantiersParMois!U12:W12)</f>
        <v>7</v>
      </c>
      <c r="V11" s="10"/>
      <c r="W11" s="11"/>
      <c r="X11" s="20">
        <f>SUM(RelevéHeuresChantiersParMois!X12:Z12)</f>
        <v>7</v>
      </c>
      <c r="Y11" s="10"/>
      <c r="Z11" s="11"/>
      <c r="AA11" s="20">
        <f>SUM(RelevéHeuresChantiersParMois!AA12:AC12)</f>
        <v>7</v>
      </c>
      <c r="AB11" s="10"/>
      <c r="AC11" s="11"/>
      <c r="AD11" s="20">
        <f>SUM(RelevéHeuresChantiersParMois!AD12:AF12)</f>
        <v>7</v>
      </c>
      <c r="AE11" s="10"/>
      <c r="AF11" s="11"/>
      <c r="AG11" s="20">
        <f>SUM(RelevéHeuresChantiersParMois!AG12:AI12)</f>
        <v>7</v>
      </c>
      <c r="AH11" s="10"/>
      <c r="AI11" s="11"/>
      <c r="AJ11" s="20">
        <f>SUM(RelevéHeuresChantiersParMois!AJ12:AL12)</f>
        <v>7</v>
      </c>
      <c r="AK11" s="10"/>
      <c r="AL11" s="11"/>
      <c r="AM11" s="20">
        <f>SUM(RelevéHeuresChantiersParMois!AM12:AO12)</f>
        <v>7</v>
      </c>
      <c r="AN11" s="10"/>
      <c r="AO11" s="11"/>
      <c r="AP11" s="20">
        <f>SUM(RelevéHeuresChantiersParMois!AP12:AR12)</f>
        <v>7</v>
      </c>
      <c r="AQ11" s="10"/>
      <c r="AR11" s="11"/>
      <c r="AS11" s="20">
        <f>SUM(RelevéHeuresChantiersParMois!AS12:AU12)</f>
        <v>7</v>
      </c>
      <c r="AT11" s="10"/>
      <c r="AU11" s="11"/>
      <c r="AV11" s="20">
        <f>SUM(RelevéHeuresChantiersParMois!AV12:AX12)</f>
        <v>7</v>
      </c>
      <c r="AW11" s="10"/>
      <c r="AX11" s="11"/>
      <c r="AY11" s="20">
        <f>SUM(RelevéHeuresChantiersParMois!AY12:BA12)</f>
        <v>7</v>
      </c>
      <c r="AZ11" s="10"/>
      <c r="BA11" s="11"/>
      <c r="BB11" s="20">
        <f>SUM(RelevéHeuresChantiersParMois!BB12:BD12)</f>
        <v>7</v>
      </c>
      <c r="BC11" s="10"/>
      <c r="BD11" s="11"/>
      <c r="BE11" s="20">
        <f>SUM(RelevéHeuresChantiersParMois!BE12:BG12)</f>
        <v>7</v>
      </c>
      <c r="BF11" s="10"/>
      <c r="BG11" s="11"/>
      <c r="BH11" s="20">
        <f>SUM(RelevéHeuresChantiersParMois!BH12:BJ12)</f>
        <v>7</v>
      </c>
      <c r="BI11" s="10"/>
      <c r="BJ11" s="11"/>
      <c r="BK11" s="20">
        <f>SUM(RelevéHeuresChantiersParMois!BK12:BM12)</f>
        <v>7</v>
      </c>
      <c r="BL11" s="10"/>
      <c r="BM11" s="11"/>
      <c r="BN11" s="20">
        <f>SUM(RelevéHeuresChantiersParMois!BN12:BP12)</f>
        <v>0</v>
      </c>
      <c r="BO11" s="10"/>
      <c r="BP11" s="11"/>
      <c r="BQ11" s="1207"/>
      <c r="BR11" s="19">
        <f t="shared" si="0"/>
        <v>9</v>
      </c>
      <c r="BS11" s="50" t="str">
        <f t="shared" ca="1" si="1"/>
        <v>GOFFIC Gilles</v>
      </c>
      <c r="BT11" s="20">
        <f t="shared" si="2"/>
        <v>141.5</v>
      </c>
      <c r="BU11" s="21">
        <f t="shared" si="3"/>
        <v>0</v>
      </c>
      <c r="BV11" s="21">
        <f t="shared" si="4"/>
        <v>0</v>
      </c>
      <c r="BW11" s="21">
        <f t="shared" si="5"/>
        <v>141.5</v>
      </c>
      <c r="BX11" s="100">
        <v>1</v>
      </c>
      <c r="BY11" s="42">
        <f>SUM(BaseDeDonnéesSalariés!L10)</f>
        <v>0</v>
      </c>
      <c r="BZ11" s="45">
        <f t="shared" si="6"/>
        <v>0</v>
      </c>
      <c r="CA11" s="1212"/>
      <c r="CB11" s="51"/>
      <c r="CC11" s="21"/>
      <c r="CD11" s="63"/>
    </row>
    <row r="12" spans="1:82" ht="20.100000000000001" customHeight="1" thickTop="1" thickBot="1">
      <c r="A12" s="19">
        <f>RelevéHeuresChantiersParMois!A13</f>
        <v>10</v>
      </c>
      <c r="B12" s="50" t="str">
        <f ca="1">RelevéHeuresChantiersParMois!B13</f>
        <v>JAUFFRET Philippe</v>
      </c>
      <c r="C12" s="20">
        <f>SUM(RelevéHeuresChantiersParMois!C13:E13)</f>
        <v>6.5</v>
      </c>
      <c r="D12" s="10"/>
      <c r="E12" s="11"/>
      <c r="F12" s="20">
        <f>SUM(RelevéHeuresChantiersParMois!F13:H13)</f>
        <v>4</v>
      </c>
      <c r="G12" s="10"/>
      <c r="H12" s="11"/>
      <c r="I12" s="20">
        <f>SUM(RelevéHeuresChantiersParMois!I13:K13)</f>
        <v>7</v>
      </c>
      <c r="J12" s="10"/>
      <c r="K12" s="11"/>
      <c r="L12" s="20">
        <f>SUM(RelevéHeuresChantiersParMois!L13:N13)</f>
        <v>5</v>
      </c>
      <c r="M12" s="10"/>
      <c r="N12" s="11"/>
      <c r="O12" s="20">
        <f>SUM(RelevéHeuresChantiersParMois!O13:Q13)</f>
        <v>7</v>
      </c>
      <c r="P12" s="10"/>
      <c r="Q12" s="11"/>
      <c r="R12" s="20">
        <f>SUM(RelevéHeuresChantiersParMois!R13:T13)</f>
        <v>7</v>
      </c>
      <c r="S12" s="10"/>
      <c r="T12" s="11"/>
      <c r="U12" s="20">
        <f>SUM(RelevéHeuresChantiersParMois!U13:W13)</f>
        <v>7</v>
      </c>
      <c r="V12" s="10"/>
      <c r="W12" s="11"/>
      <c r="X12" s="20">
        <f>SUM(RelevéHeuresChantiersParMois!X13:Z13)</f>
        <v>7</v>
      </c>
      <c r="Y12" s="10"/>
      <c r="Z12" s="11"/>
      <c r="AA12" s="20">
        <f>SUM(RelevéHeuresChantiersParMois!AA13:AC13)</f>
        <v>7</v>
      </c>
      <c r="AB12" s="10"/>
      <c r="AC12" s="11"/>
      <c r="AD12" s="20">
        <f>SUM(RelevéHeuresChantiersParMois!AD13:AF13)</f>
        <v>7</v>
      </c>
      <c r="AE12" s="10"/>
      <c r="AF12" s="11"/>
      <c r="AG12" s="20">
        <f>SUM(RelevéHeuresChantiersParMois!AG13:AI13)</f>
        <v>7</v>
      </c>
      <c r="AH12" s="10"/>
      <c r="AI12" s="11"/>
      <c r="AJ12" s="20">
        <f>SUM(RelevéHeuresChantiersParMois!AJ13:AL13)</f>
        <v>7</v>
      </c>
      <c r="AK12" s="10"/>
      <c r="AL12" s="11"/>
      <c r="AM12" s="20">
        <f>SUM(RelevéHeuresChantiersParMois!AM13:AO13)</f>
        <v>7</v>
      </c>
      <c r="AN12" s="10"/>
      <c r="AO12" s="11"/>
      <c r="AP12" s="20">
        <f>SUM(RelevéHeuresChantiersParMois!AP13:AR13)</f>
        <v>7</v>
      </c>
      <c r="AQ12" s="10"/>
      <c r="AR12" s="11"/>
      <c r="AS12" s="20">
        <f>SUM(RelevéHeuresChantiersParMois!AS13:AU13)</f>
        <v>7</v>
      </c>
      <c r="AT12" s="10"/>
      <c r="AU12" s="11"/>
      <c r="AV12" s="20">
        <f>SUM(RelevéHeuresChantiersParMois!AV13:AX13)</f>
        <v>7</v>
      </c>
      <c r="AW12" s="10"/>
      <c r="AX12" s="11"/>
      <c r="AY12" s="20">
        <f>SUM(RelevéHeuresChantiersParMois!AY13:BA13)</f>
        <v>7</v>
      </c>
      <c r="AZ12" s="10"/>
      <c r="BA12" s="11"/>
      <c r="BB12" s="20">
        <f>SUM(RelevéHeuresChantiersParMois!BB13:BD13)</f>
        <v>7</v>
      </c>
      <c r="BC12" s="10"/>
      <c r="BD12" s="11"/>
      <c r="BE12" s="20">
        <f>SUM(RelevéHeuresChantiersParMois!BE13:BG13)</f>
        <v>7</v>
      </c>
      <c r="BF12" s="10"/>
      <c r="BG12" s="11"/>
      <c r="BH12" s="20">
        <f>SUM(RelevéHeuresChantiersParMois!BH13:BJ13)</f>
        <v>7</v>
      </c>
      <c r="BI12" s="10"/>
      <c r="BJ12" s="11"/>
      <c r="BK12" s="20">
        <f>SUM(RelevéHeuresChantiersParMois!BK13:BM13)</f>
        <v>7</v>
      </c>
      <c r="BL12" s="10"/>
      <c r="BM12" s="11"/>
      <c r="BN12" s="20">
        <f>SUM(RelevéHeuresChantiersParMois!BN13:BP13)</f>
        <v>0</v>
      </c>
      <c r="BO12" s="10"/>
      <c r="BP12" s="11"/>
      <c r="BQ12" s="1207"/>
      <c r="BR12" s="19">
        <f t="shared" si="0"/>
        <v>10</v>
      </c>
      <c r="BS12" s="50" t="str">
        <f t="shared" ca="1" si="1"/>
        <v>JAUFFRET Philippe</v>
      </c>
      <c r="BT12" s="20">
        <f t="shared" si="2"/>
        <v>141.5</v>
      </c>
      <c r="BU12" s="21">
        <f t="shared" si="3"/>
        <v>0</v>
      </c>
      <c r="BV12" s="21">
        <f t="shared" si="4"/>
        <v>0</v>
      </c>
      <c r="BW12" s="21">
        <f t="shared" si="5"/>
        <v>141.5</v>
      </c>
      <c r="BX12" s="100">
        <v>1</v>
      </c>
      <c r="BY12" s="42">
        <f>SUM(BaseDeDonnéesSalariés!L11)</f>
        <v>0</v>
      </c>
      <c r="BZ12" s="45">
        <f t="shared" si="6"/>
        <v>0</v>
      </c>
      <c r="CA12" s="1212"/>
      <c r="CB12" s="51"/>
      <c r="CC12" s="21"/>
      <c r="CD12" s="63"/>
    </row>
    <row r="13" spans="1:82" ht="20.100000000000001" customHeight="1" thickTop="1" thickBot="1">
      <c r="A13" s="19">
        <f>RelevéHeuresChantiersParMois!A14</f>
        <v>11</v>
      </c>
      <c r="B13" s="50" t="str">
        <f ca="1">RelevéHeuresChantiersParMois!B14</f>
        <v>LIMARE Serge</v>
      </c>
      <c r="C13" s="20">
        <f>SUM(RelevéHeuresChantiersParMois!C14:E14)</f>
        <v>6.5</v>
      </c>
      <c r="D13" s="10"/>
      <c r="E13" s="11"/>
      <c r="F13" s="20">
        <f>SUM(RelevéHeuresChantiersParMois!F14:H14)</f>
        <v>4</v>
      </c>
      <c r="G13" s="10"/>
      <c r="H13" s="11"/>
      <c r="I13" s="20">
        <f>SUM(RelevéHeuresChantiersParMois!I14:K14)</f>
        <v>7</v>
      </c>
      <c r="J13" s="10"/>
      <c r="K13" s="11"/>
      <c r="L13" s="20">
        <f>SUM(RelevéHeuresChantiersParMois!L14:N14)</f>
        <v>5</v>
      </c>
      <c r="M13" s="10"/>
      <c r="N13" s="11"/>
      <c r="O13" s="20">
        <f>SUM(RelevéHeuresChantiersParMois!O14:Q14)</f>
        <v>7</v>
      </c>
      <c r="P13" s="10"/>
      <c r="Q13" s="11"/>
      <c r="R13" s="20">
        <f>SUM(RelevéHeuresChantiersParMois!R14:T14)</f>
        <v>7</v>
      </c>
      <c r="S13" s="10"/>
      <c r="T13" s="11"/>
      <c r="U13" s="20">
        <f>SUM(RelevéHeuresChantiersParMois!U14:W14)</f>
        <v>7</v>
      </c>
      <c r="V13" s="10"/>
      <c r="W13" s="11"/>
      <c r="X13" s="20">
        <f>SUM(RelevéHeuresChantiersParMois!X14:Z14)</f>
        <v>7</v>
      </c>
      <c r="Y13" s="10"/>
      <c r="Z13" s="11"/>
      <c r="AA13" s="20">
        <f>SUM(RelevéHeuresChantiersParMois!AA14:AC14)</f>
        <v>7</v>
      </c>
      <c r="AB13" s="10"/>
      <c r="AC13" s="11"/>
      <c r="AD13" s="20">
        <f>SUM(RelevéHeuresChantiersParMois!AD14:AF14)</f>
        <v>7</v>
      </c>
      <c r="AE13" s="10"/>
      <c r="AF13" s="11"/>
      <c r="AG13" s="20">
        <f>SUM(RelevéHeuresChantiersParMois!AG14:AI14)</f>
        <v>7</v>
      </c>
      <c r="AH13" s="10"/>
      <c r="AI13" s="11"/>
      <c r="AJ13" s="20">
        <f>SUM(RelevéHeuresChantiersParMois!AJ14:AL14)</f>
        <v>7</v>
      </c>
      <c r="AK13" s="10"/>
      <c r="AL13" s="11"/>
      <c r="AM13" s="20">
        <f>SUM(RelevéHeuresChantiersParMois!AM14:AO14)</f>
        <v>7</v>
      </c>
      <c r="AN13" s="10"/>
      <c r="AO13" s="11"/>
      <c r="AP13" s="20">
        <f>SUM(RelevéHeuresChantiersParMois!AP14:AR14)</f>
        <v>7</v>
      </c>
      <c r="AQ13" s="10"/>
      <c r="AR13" s="11"/>
      <c r="AS13" s="20">
        <f>SUM(RelevéHeuresChantiersParMois!AS14:AU14)</f>
        <v>7</v>
      </c>
      <c r="AT13" s="10"/>
      <c r="AU13" s="11"/>
      <c r="AV13" s="20">
        <f>SUM(RelevéHeuresChantiersParMois!AV14:AX14)</f>
        <v>7</v>
      </c>
      <c r="AW13" s="10"/>
      <c r="AX13" s="11"/>
      <c r="AY13" s="20">
        <f>SUM(RelevéHeuresChantiersParMois!AY14:BA14)</f>
        <v>7</v>
      </c>
      <c r="AZ13" s="10"/>
      <c r="BA13" s="11"/>
      <c r="BB13" s="20">
        <f>SUM(RelevéHeuresChantiersParMois!BB14:BD14)</f>
        <v>7</v>
      </c>
      <c r="BC13" s="10"/>
      <c r="BD13" s="11"/>
      <c r="BE13" s="20">
        <f>SUM(RelevéHeuresChantiersParMois!BE14:BG14)</f>
        <v>7</v>
      </c>
      <c r="BF13" s="10"/>
      <c r="BG13" s="11"/>
      <c r="BH13" s="20">
        <f>SUM(RelevéHeuresChantiersParMois!BH14:BJ14)</f>
        <v>7</v>
      </c>
      <c r="BI13" s="10"/>
      <c r="BJ13" s="11"/>
      <c r="BK13" s="20">
        <f>SUM(RelevéHeuresChantiersParMois!BK14:BM14)</f>
        <v>7</v>
      </c>
      <c r="BL13" s="10"/>
      <c r="BM13" s="11"/>
      <c r="BN13" s="20">
        <f>SUM(RelevéHeuresChantiersParMois!BN14:BP14)</f>
        <v>0</v>
      </c>
      <c r="BO13" s="10"/>
      <c r="BP13" s="11"/>
      <c r="BQ13" s="1207"/>
      <c r="BR13" s="19">
        <f t="shared" si="0"/>
        <v>11</v>
      </c>
      <c r="BS13" s="50" t="str">
        <f t="shared" ca="1" si="1"/>
        <v>LIMARE Serge</v>
      </c>
      <c r="BT13" s="20">
        <f t="shared" si="2"/>
        <v>141.5</v>
      </c>
      <c r="BU13" s="21">
        <f t="shared" si="3"/>
        <v>0</v>
      </c>
      <c r="BV13" s="21">
        <f t="shared" si="4"/>
        <v>0</v>
      </c>
      <c r="BW13" s="21">
        <f t="shared" si="5"/>
        <v>141.5</v>
      </c>
      <c r="BX13" s="100">
        <v>1</v>
      </c>
      <c r="BY13" s="42">
        <f>SUM(BaseDeDonnéesSalariés!L12)</f>
        <v>0</v>
      </c>
      <c r="BZ13" s="45">
        <f t="shared" si="6"/>
        <v>0</v>
      </c>
      <c r="CA13" s="1212"/>
      <c r="CB13" s="51"/>
      <c r="CC13" s="21"/>
      <c r="CD13" s="63"/>
    </row>
    <row r="14" spans="1:82" ht="20.100000000000001" customHeight="1" thickTop="1" thickBot="1">
      <c r="A14" s="19">
        <f>RelevéHeuresChantiersParMois!A15</f>
        <v>0</v>
      </c>
      <c r="B14" s="50" t="str">
        <f ca="1">RelevéHeuresChantiersParMois!B15</f>
        <v/>
      </c>
      <c r="C14" s="20">
        <f>SUM(RelevéHeuresChantiersParMois!C15:E15)</f>
        <v>0</v>
      </c>
      <c r="D14" s="10"/>
      <c r="E14" s="11"/>
      <c r="F14" s="20">
        <f>SUM(RelevéHeuresChantiersParMois!F15:H15)</f>
        <v>0</v>
      </c>
      <c r="G14" s="10"/>
      <c r="H14" s="11"/>
      <c r="I14" s="20">
        <f>SUM(RelevéHeuresChantiersParMois!I15:K15)</f>
        <v>0</v>
      </c>
      <c r="J14" s="10"/>
      <c r="K14" s="11"/>
      <c r="L14" s="20">
        <f>SUM(RelevéHeuresChantiersParMois!L15:N15)</f>
        <v>0</v>
      </c>
      <c r="M14" s="10"/>
      <c r="N14" s="11"/>
      <c r="O14" s="20">
        <f>SUM(RelevéHeuresChantiersParMois!O15:Q15)</f>
        <v>0</v>
      </c>
      <c r="P14" s="10"/>
      <c r="Q14" s="11"/>
      <c r="R14" s="20">
        <f>SUM(RelevéHeuresChantiersParMois!R15:T15)</f>
        <v>0</v>
      </c>
      <c r="S14" s="10"/>
      <c r="T14" s="11"/>
      <c r="U14" s="20">
        <f>SUM(RelevéHeuresChantiersParMois!U15:W15)</f>
        <v>0</v>
      </c>
      <c r="V14" s="10"/>
      <c r="W14" s="11"/>
      <c r="X14" s="20">
        <f>SUM(RelevéHeuresChantiersParMois!X15:Z15)</f>
        <v>0</v>
      </c>
      <c r="Y14" s="10"/>
      <c r="Z14" s="11"/>
      <c r="AA14" s="20">
        <f>SUM(RelevéHeuresChantiersParMois!AA15:AC15)</f>
        <v>0</v>
      </c>
      <c r="AB14" s="10"/>
      <c r="AC14" s="11"/>
      <c r="AD14" s="20">
        <f>SUM(RelevéHeuresChantiersParMois!AD15:AF15)</f>
        <v>0</v>
      </c>
      <c r="AE14" s="10"/>
      <c r="AF14" s="11"/>
      <c r="AG14" s="20">
        <f>SUM(RelevéHeuresChantiersParMois!AG15:AI15)</f>
        <v>0</v>
      </c>
      <c r="AH14" s="10"/>
      <c r="AI14" s="11"/>
      <c r="AJ14" s="20">
        <f>SUM(RelevéHeuresChantiersParMois!AJ15:AL15)</f>
        <v>0</v>
      </c>
      <c r="AK14" s="10"/>
      <c r="AL14" s="11"/>
      <c r="AM14" s="20">
        <f>SUM(RelevéHeuresChantiersParMois!AM15:AO15)</f>
        <v>0</v>
      </c>
      <c r="AN14" s="10"/>
      <c r="AO14" s="11"/>
      <c r="AP14" s="20">
        <f>SUM(RelevéHeuresChantiersParMois!AP15:AR15)</f>
        <v>0</v>
      </c>
      <c r="AQ14" s="10"/>
      <c r="AR14" s="11"/>
      <c r="AS14" s="20">
        <f>SUM(RelevéHeuresChantiersParMois!AS15:AU15)</f>
        <v>0</v>
      </c>
      <c r="AT14" s="10"/>
      <c r="AU14" s="11"/>
      <c r="AV14" s="20">
        <f>SUM(RelevéHeuresChantiersParMois!AV15:AX15)</f>
        <v>0</v>
      </c>
      <c r="AW14" s="10"/>
      <c r="AX14" s="11"/>
      <c r="AY14" s="20">
        <f>SUM(RelevéHeuresChantiersParMois!AY15:BA15)</f>
        <v>0</v>
      </c>
      <c r="AZ14" s="10"/>
      <c r="BA14" s="11"/>
      <c r="BB14" s="20">
        <f>SUM(RelevéHeuresChantiersParMois!BB15:BD15)</f>
        <v>0</v>
      </c>
      <c r="BC14" s="10"/>
      <c r="BD14" s="11"/>
      <c r="BE14" s="20">
        <f>SUM(RelevéHeuresChantiersParMois!BE15:BG15)</f>
        <v>0</v>
      </c>
      <c r="BF14" s="10"/>
      <c r="BG14" s="11"/>
      <c r="BH14" s="20">
        <f>SUM(RelevéHeuresChantiersParMois!BH15:BJ15)</f>
        <v>0</v>
      </c>
      <c r="BI14" s="10"/>
      <c r="BJ14" s="11"/>
      <c r="BK14" s="20">
        <f>SUM(RelevéHeuresChantiersParMois!BK15:BM15)</f>
        <v>0</v>
      </c>
      <c r="BL14" s="10"/>
      <c r="BM14" s="11"/>
      <c r="BN14" s="20">
        <f>SUM(RelevéHeuresChantiersParMois!BN15:BP15)</f>
        <v>0</v>
      </c>
      <c r="BO14" s="10"/>
      <c r="BP14" s="11"/>
      <c r="BQ14" s="1207"/>
      <c r="BR14" s="19">
        <f t="shared" si="0"/>
        <v>0</v>
      </c>
      <c r="BS14" s="50" t="str">
        <f t="shared" ca="1" si="1"/>
        <v/>
      </c>
      <c r="BT14" s="20">
        <f t="shared" si="2"/>
        <v>0</v>
      </c>
      <c r="BU14" s="21">
        <f t="shared" si="3"/>
        <v>0</v>
      </c>
      <c r="BV14" s="21">
        <f t="shared" si="4"/>
        <v>0</v>
      </c>
      <c r="BW14" s="21">
        <f t="shared" si="5"/>
        <v>0</v>
      </c>
      <c r="BX14" s="100">
        <v>1</v>
      </c>
      <c r="BY14" s="42">
        <f>SUM(BaseDeDonnéesSalariés!L13)</f>
        <v>0</v>
      </c>
      <c r="BZ14" s="45">
        <f t="shared" si="6"/>
        <v>0</v>
      </c>
      <c r="CA14" s="1212"/>
      <c r="CB14" s="51"/>
      <c r="CC14" s="21"/>
      <c r="CD14" s="63"/>
    </row>
    <row r="15" spans="1:82" ht="20.100000000000001" customHeight="1" thickTop="1" thickBot="1">
      <c r="A15" s="19">
        <f>RelevéHeuresChantiersParMois!A16</f>
        <v>0</v>
      </c>
      <c r="B15" s="50" t="str">
        <f ca="1">RelevéHeuresChantiersParMois!B16</f>
        <v/>
      </c>
      <c r="C15" s="20">
        <f>SUM(RelevéHeuresChantiersParMois!C16:E16)</f>
        <v>0</v>
      </c>
      <c r="D15" s="10"/>
      <c r="E15" s="11"/>
      <c r="F15" s="20">
        <f>SUM(RelevéHeuresChantiersParMois!F16:H16)</f>
        <v>0</v>
      </c>
      <c r="G15" s="10"/>
      <c r="H15" s="11"/>
      <c r="I15" s="20">
        <f>SUM(RelevéHeuresChantiersParMois!I16:K16)</f>
        <v>0</v>
      </c>
      <c r="J15" s="10"/>
      <c r="K15" s="11"/>
      <c r="L15" s="20">
        <f>SUM(RelevéHeuresChantiersParMois!L16:N16)</f>
        <v>0</v>
      </c>
      <c r="M15" s="10"/>
      <c r="N15" s="11"/>
      <c r="O15" s="20">
        <f>SUM(RelevéHeuresChantiersParMois!O16:Q16)</f>
        <v>0</v>
      </c>
      <c r="P15" s="10"/>
      <c r="Q15" s="11"/>
      <c r="R15" s="20">
        <f>SUM(RelevéHeuresChantiersParMois!R16:T16)</f>
        <v>0</v>
      </c>
      <c r="S15" s="10"/>
      <c r="T15" s="11"/>
      <c r="U15" s="20">
        <f>SUM(RelevéHeuresChantiersParMois!U16:W16)</f>
        <v>0</v>
      </c>
      <c r="V15" s="10"/>
      <c r="W15" s="11"/>
      <c r="X15" s="20">
        <f>SUM(RelevéHeuresChantiersParMois!X16:Z16)</f>
        <v>0</v>
      </c>
      <c r="Y15" s="10"/>
      <c r="Z15" s="11"/>
      <c r="AA15" s="20">
        <f>SUM(RelevéHeuresChantiersParMois!AA16:AC16)</f>
        <v>0</v>
      </c>
      <c r="AB15" s="10"/>
      <c r="AC15" s="11"/>
      <c r="AD15" s="20">
        <f>SUM(RelevéHeuresChantiersParMois!AD16:AF16)</f>
        <v>0</v>
      </c>
      <c r="AE15" s="10"/>
      <c r="AF15" s="11"/>
      <c r="AG15" s="20">
        <f>SUM(RelevéHeuresChantiersParMois!AG16:AI16)</f>
        <v>0</v>
      </c>
      <c r="AH15" s="10"/>
      <c r="AI15" s="11"/>
      <c r="AJ15" s="20">
        <f>SUM(RelevéHeuresChantiersParMois!AJ16:AL16)</f>
        <v>0</v>
      </c>
      <c r="AK15" s="10"/>
      <c r="AL15" s="11"/>
      <c r="AM15" s="20">
        <f>SUM(RelevéHeuresChantiersParMois!AM16:AO16)</f>
        <v>0</v>
      </c>
      <c r="AN15" s="10"/>
      <c r="AO15" s="11"/>
      <c r="AP15" s="20">
        <f>SUM(RelevéHeuresChantiersParMois!AP16:AR16)</f>
        <v>0</v>
      </c>
      <c r="AQ15" s="10"/>
      <c r="AR15" s="11"/>
      <c r="AS15" s="20">
        <f>SUM(RelevéHeuresChantiersParMois!AS16:AU16)</f>
        <v>0</v>
      </c>
      <c r="AT15" s="10"/>
      <c r="AU15" s="11"/>
      <c r="AV15" s="20">
        <f>SUM(RelevéHeuresChantiersParMois!AV16:AX16)</f>
        <v>0</v>
      </c>
      <c r="AW15" s="10"/>
      <c r="AX15" s="11"/>
      <c r="AY15" s="20">
        <f>SUM(RelevéHeuresChantiersParMois!AY16:BA16)</f>
        <v>0</v>
      </c>
      <c r="AZ15" s="10"/>
      <c r="BA15" s="11"/>
      <c r="BB15" s="20">
        <f>SUM(RelevéHeuresChantiersParMois!BB16:BD16)</f>
        <v>0</v>
      </c>
      <c r="BC15" s="10"/>
      <c r="BD15" s="11"/>
      <c r="BE15" s="20">
        <f>SUM(RelevéHeuresChantiersParMois!BE16:BG16)</f>
        <v>0</v>
      </c>
      <c r="BF15" s="10"/>
      <c r="BG15" s="11"/>
      <c r="BH15" s="20">
        <f>SUM(RelevéHeuresChantiersParMois!BH16:BJ16)</f>
        <v>0</v>
      </c>
      <c r="BI15" s="10"/>
      <c r="BJ15" s="11"/>
      <c r="BK15" s="20">
        <f>SUM(RelevéHeuresChantiersParMois!BK16:BM16)</f>
        <v>0</v>
      </c>
      <c r="BL15" s="10"/>
      <c r="BM15" s="11"/>
      <c r="BN15" s="20">
        <f>SUM(RelevéHeuresChantiersParMois!BN16:BP16)</f>
        <v>0</v>
      </c>
      <c r="BO15" s="10"/>
      <c r="BP15" s="11"/>
      <c r="BQ15" s="1207"/>
      <c r="BR15" s="19">
        <f t="shared" si="0"/>
        <v>0</v>
      </c>
      <c r="BS15" s="50" t="str">
        <f t="shared" ca="1" si="1"/>
        <v/>
      </c>
      <c r="BT15" s="20">
        <f t="shared" si="2"/>
        <v>0</v>
      </c>
      <c r="BU15" s="21">
        <f t="shared" si="3"/>
        <v>0</v>
      </c>
      <c r="BV15" s="21">
        <f t="shared" si="4"/>
        <v>0</v>
      </c>
      <c r="BW15" s="21">
        <f t="shared" si="5"/>
        <v>0</v>
      </c>
      <c r="BX15" s="100">
        <v>1</v>
      </c>
      <c r="BY15" s="42">
        <f>SUM(BaseDeDonnéesSalariés!L14)</f>
        <v>0</v>
      </c>
      <c r="BZ15" s="45">
        <f t="shared" si="6"/>
        <v>0</v>
      </c>
      <c r="CA15" s="1212"/>
      <c r="CB15" s="51"/>
      <c r="CC15" s="21"/>
      <c r="CD15" s="63"/>
    </row>
    <row r="16" spans="1:82" ht="20.100000000000001" customHeight="1" thickTop="1" thickBot="1">
      <c r="A16" s="19">
        <f>RelevéHeuresChantiersParMois!A17</f>
        <v>0</v>
      </c>
      <c r="B16" s="50" t="str">
        <f ca="1">RelevéHeuresChantiersParMois!B17</f>
        <v/>
      </c>
      <c r="C16" s="20">
        <f>SUM(RelevéHeuresChantiersParMois!C17:E17)</f>
        <v>0</v>
      </c>
      <c r="D16" s="10"/>
      <c r="E16" s="11"/>
      <c r="F16" s="20">
        <f>SUM(RelevéHeuresChantiersParMois!F17:H17)</f>
        <v>0</v>
      </c>
      <c r="G16" s="10"/>
      <c r="H16" s="11"/>
      <c r="I16" s="20">
        <f>SUM(RelevéHeuresChantiersParMois!I17:K17)</f>
        <v>0</v>
      </c>
      <c r="J16" s="10"/>
      <c r="K16" s="11"/>
      <c r="L16" s="20">
        <f>SUM(RelevéHeuresChantiersParMois!L17:N17)</f>
        <v>0</v>
      </c>
      <c r="M16" s="10"/>
      <c r="N16" s="11"/>
      <c r="O16" s="20">
        <f>SUM(RelevéHeuresChantiersParMois!O17:Q17)</f>
        <v>0</v>
      </c>
      <c r="P16" s="10"/>
      <c r="Q16" s="11"/>
      <c r="R16" s="20">
        <f>SUM(RelevéHeuresChantiersParMois!R17:T17)</f>
        <v>0</v>
      </c>
      <c r="S16" s="10"/>
      <c r="T16" s="11"/>
      <c r="U16" s="20">
        <f>SUM(RelevéHeuresChantiersParMois!U17:W17)</f>
        <v>0</v>
      </c>
      <c r="V16" s="10"/>
      <c r="W16" s="11"/>
      <c r="X16" s="20">
        <f>SUM(RelevéHeuresChantiersParMois!X17:Z17)</f>
        <v>0</v>
      </c>
      <c r="Y16" s="10"/>
      <c r="Z16" s="11"/>
      <c r="AA16" s="20">
        <f>SUM(RelevéHeuresChantiersParMois!AA17:AC17)</f>
        <v>0</v>
      </c>
      <c r="AB16" s="10"/>
      <c r="AC16" s="11"/>
      <c r="AD16" s="20">
        <f>SUM(RelevéHeuresChantiersParMois!AD17:AF17)</f>
        <v>0</v>
      </c>
      <c r="AE16" s="10"/>
      <c r="AF16" s="11"/>
      <c r="AG16" s="20">
        <f>SUM(RelevéHeuresChantiersParMois!AG17:AI17)</f>
        <v>0</v>
      </c>
      <c r="AH16" s="10"/>
      <c r="AI16" s="11"/>
      <c r="AJ16" s="20">
        <f>SUM(RelevéHeuresChantiersParMois!AJ17:AL17)</f>
        <v>0</v>
      </c>
      <c r="AK16" s="10"/>
      <c r="AL16" s="11"/>
      <c r="AM16" s="20">
        <f>SUM(RelevéHeuresChantiersParMois!AM17:AO17)</f>
        <v>0</v>
      </c>
      <c r="AN16" s="10"/>
      <c r="AO16" s="11"/>
      <c r="AP16" s="20">
        <f>SUM(RelevéHeuresChantiersParMois!AP17:AR17)</f>
        <v>0</v>
      </c>
      <c r="AQ16" s="10"/>
      <c r="AR16" s="11"/>
      <c r="AS16" s="20">
        <f>SUM(RelevéHeuresChantiersParMois!AS17:AU17)</f>
        <v>0</v>
      </c>
      <c r="AT16" s="10"/>
      <c r="AU16" s="11"/>
      <c r="AV16" s="20">
        <f>SUM(RelevéHeuresChantiersParMois!AV17:AX17)</f>
        <v>0</v>
      </c>
      <c r="AW16" s="10"/>
      <c r="AX16" s="11"/>
      <c r="AY16" s="20">
        <f>SUM(RelevéHeuresChantiersParMois!AY17:BA17)</f>
        <v>0</v>
      </c>
      <c r="AZ16" s="10"/>
      <c r="BA16" s="11"/>
      <c r="BB16" s="20">
        <f>SUM(RelevéHeuresChantiersParMois!BB17:BD17)</f>
        <v>0</v>
      </c>
      <c r="BC16" s="10"/>
      <c r="BD16" s="11"/>
      <c r="BE16" s="20">
        <f>SUM(RelevéHeuresChantiersParMois!BE17:BG17)</f>
        <v>0</v>
      </c>
      <c r="BF16" s="10"/>
      <c r="BG16" s="11"/>
      <c r="BH16" s="20">
        <f>SUM(RelevéHeuresChantiersParMois!BH17:BJ17)</f>
        <v>0</v>
      </c>
      <c r="BI16" s="10"/>
      <c r="BJ16" s="11"/>
      <c r="BK16" s="20">
        <f>SUM(RelevéHeuresChantiersParMois!BK17:BM17)</f>
        <v>0</v>
      </c>
      <c r="BL16" s="10"/>
      <c r="BM16" s="11"/>
      <c r="BN16" s="20">
        <f>SUM(RelevéHeuresChantiersParMois!BN17:BP17)</f>
        <v>0</v>
      </c>
      <c r="BO16" s="10"/>
      <c r="BP16" s="11"/>
      <c r="BQ16" s="1207"/>
      <c r="BR16" s="19">
        <f t="shared" si="0"/>
        <v>0</v>
      </c>
      <c r="BS16" s="50" t="str">
        <f t="shared" ca="1" si="1"/>
        <v/>
      </c>
      <c r="BT16" s="20">
        <f t="shared" si="2"/>
        <v>0</v>
      </c>
      <c r="BU16" s="21">
        <f t="shared" si="3"/>
        <v>0</v>
      </c>
      <c r="BV16" s="21">
        <f t="shared" si="4"/>
        <v>0</v>
      </c>
      <c r="BW16" s="21">
        <f t="shared" si="5"/>
        <v>0</v>
      </c>
      <c r="BX16" s="100">
        <v>1</v>
      </c>
      <c r="BY16" s="42">
        <f>SUM(BaseDeDonnéesSalariés!L15)</f>
        <v>0</v>
      </c>
      <c r="BZ16" s="45">
        <f t="shared" si="6"/>
        <v>0</v>
      </c>
      <c r="CA16" s="1212"/>
      <c r="CB16" s="51"/>
      <c r="CC16" s="21"/>
      <c r="CD16" s="63"/>
    </row>
    <row r="17" spans="1:82" ht="20.100000000000001" customHeight="1" thickTop="1" thickBot="1">
      <c r="A17" s="19">
        <f>RelevéHeuresChantiersParMois!A18</f>
        <v>0</v>
      </c>
      <c r="B17" s="50" t="str">
        <f ca="1">RelevéHeuresChantiersParMois!B18</f>
        <v/>
      </c>
      <c r="C17" s="20">
        <f>SUM(RelevéHeuresChantiersParMois!C18:E18)</f>
        <v>0</v>
      </c>
      <c r="D17" s="10"/>
      <c r="E17" s="11"/>
      <c r="F17" s="20">
        <f>SUM(RelevéHeuresChantiersParMois!F18:H18)</f>
        <v>0</v>
      </c>
      <c r="G17" s="10"/>
      <c r="H17" s="11"/>
      <c r="I17" s="20">
        <f>SUM(RelevéHeuresChantiersParMois!I18:K18)</f>
        <v>0</v>
      </c>
      <c r="J17" s="10"/>
      <c r="K17" s="11"/>
      <c r="L17" s="20">
        <f>SUM(RelevéHeuresChantiersParMois!L18:N18)</f>
        <v>0</v>
      </c>
      <c r="M17" s="10"/>
      <c r="N17" s="11"/>
      <c r="O17" s="20">
        <f>SUM(RelevéHeuresChantiersParMois!O18:Q18)</f>
        <v>0</v>
      </c>
      <c r="P17" s="10"/>
      <c r="Q17" s="11"/>
      <c r="R17" s="20">
        <f>SUM(RelevéHeuresChantiersParMois!R18:T18)</f>
        <v>0</v>
      </c>
      <c r="S17" s="10"/>
      <c r="T17" s="11"/>
      <c r="U17" s="20">
        <f>SUM(RelevéHeuresChantiersParMois!U18:W18)</f>
        <v>0</v>
      </c>
      <c r="V17" s="10"/>
      <c r="W17" s="11"/>
      <c r="X17" s="20">
        <f>SUM(RelevéHeuresChantiersParMois!X18:Z18)</f>
        <v>0</v>
      </c>
      <c r="Y17" s="10"/>
      <c r="Z17" s="11"/>
      <c r="AA17" s="20">
        <f>SUM(RelevéHeuresChantiersParMois!AA18:AC18)</f>
        <v>0</v>
      </c>
      <c r="AB17" s="10"/>
      <c r="AC17" s="11"/>
      <c r="AD17" s="20">
        <f>SUM(RelevéHeuresChantiersParMois!AD18:AF18)</f>
        <v>0</v>
      </c>
      <c r="AE17" s="10"/>
      <c r="AF17" s="11"/>
      <c r="AG17" s="20">
        <f>SUM(RelevéHeuresChantiersParMois!AG18:AI18)</f>
        <v>0</v>
      </c>
      <c r="AH17" s="10"/>
      <c r="AI17" s="11"/>
      <c r="AJ17" s="20">
        <f>SUM(RelevéHeuresChantiersParMois!AJ18:AL18)</f>
        <v>0</v>
      </c>
      <c r="AK17" s="10"/>
      <c r="AL17" s="11"/>
      <c r="AM17" s="20">
        <f>SUM(RelevéHeuresChantiersParMois!AM18:AO18)</f>
        <v>0</v>
      </c>
      <c r="AN17" s="10"/>
      <c r="AO17" s="11"/>
      <c r="AP17" s="20">
        <f>SUM(RelevéHeuresChantiersParMois!AP18:AR18)</f>
        <v>0</v>
      </c>
      <c r="AQ17" s="10"/>
      <c r="AR17" s="11"/>
      <c r="AS17" s="20">
        <f>SUM(RelevéHeuresChantiersParMois!AS18:AU18)</f>
        <v>0</v>
      </c>
      <c r="AT17" s="10"/>
      <c r="AU17" s="11"/>
      <c r="AV17" s="20">
        <f>SUM(RelevéHeuresChantiersParMois!AV18:AX18)</f>
        <v>0</v>
      </c>
      <c r="AW17" s="10"/>
      <c r="AX17" s="11"/>
      <c r="AY17" s="20">
        <f>SUM(RelevéHeuresChantiersParMois!AY18:BA18)</f>
        <v>0</v>
      </c>
      <c r="AZ17" s="10"/>
      <c r="BA17" s="11"/>
      <c r="BB17" s="20">
        <f>SUM(RelevéHeuresChantiersParMois!BB18:BD18)</f>
        <v>0</v>
      </c>
      <c r="BC17" s="10"/>
      <c r="BD17" s="11"/>
      <c r="BE17" s="20">
        <f>SUM(RelevéHeuresChantiersParMois!BE18:BG18)</f>
        <v>0</v>
      </c>
      <c r="BF17" s="10"/>
      <c r="BG17" s="11"/>
      <c r="BH17" s="20">
        <f>SUM(RelevéHeuresChantiersParMois!BH18:BJ18)</f>
        <v>0</v>
      </c>
      <c r="BI17" s="10"/>
      <c r="BJ17" s="11"/>
      <c r="BK17" s="20">
        <f>SUM(RelevéHeuresChantiersParMois!BK18:BM18)</f>
        <v>0</v>
      </c>
      <c r="BL17" s="10"/>
      <c r="BM17" s="11"/>
      <c r="BN17" s="20">
        <f>SUM(RelevéHeuresChantiersParMois!BN18:BP18)</f>
        <v>0</v>
      </c>
      <c r="BO17" s="10"/>
      <c r="BP17" s="11"/>
      <c r="BQ17" s="1207"/>
      <c r="BR17" s="19">
        <f t="shared" si="0"/>
        <v>0</v>
      </c>
      <c r="BS17" s="50" t="str">
        <f t="shared" ca="1" si="1"/>
        <v/>
      </c>
      <c r="BT17" s="20">
        <f t="shared" si="2"/>
        <v>0</v>
      </c>
      <c r="BU17" s="21">
        <f t="shared" si="3"/>
        <v>0</v>
      </c>
      <c r="BV17" s="21">
        <f t="shared" si="4"/>
        <v>0</v>
      </c>
      <c r="BW17" s="21">
        <f t="shared" si="5"/>
        <v>0</v>
      </c>
      <c r="BX17" s="100">
        <v>1</v>
      </c>
      <c r="BY17" s="42">
        <f>SUM(BaseDeDonnéesSalariés!L16)</f>
        <v>0</v>
      </c>
      <c r="BZ17" s="45">
        <f t="shared" si="6"/>
        <v>0</v>
      </c>
      <c r="CA17" s="1212"/>
      <c r="CB17" s="51"/>
      <c r="CC17" s="21"/>
      <c r="CD17" s="63"/>
    </row>
    <row r="18" spans="1:82" ht="20.100000000000001" customHeight="1" thickTop="1" thickBot="1">
      <c r="A18" s="19">
        <f>RelevéHeuresChantiersParMois!A19</f>
        <v>0</v>
      </c>
      <c r="B18" s="50" t="str">
        <f ca="1">RelevéHeuresChantiersParMois!B19</f>
        <v/>
      </c>
      <c r="C18" s="20">
        <f>SUM(RelevéHeuresChantiersParMois!C19:E19)</f>
        <v>0</v>
      </c>
      <c r="D18" s="10"/>
      <c r="E18" s="11"/>
      <c r="F18" s="20">
        <f>SUM(RelevéHeuresChantiersParMois!F19:H19)</f>
        <v>0</v>
      </c>
      <c r="G18" s="10"/>
      <c r="H18" s="11"/>
      <c r="I18" s="20">
        <f>SUM(RelevéHeuresChantiersParMois!I19:K19)</f>
        <v>0</v>
      </c>
      <c r="J18" s="10"/>
      <c r="K18" s="11"/>
      <c r="L18" s="20">
        <f>SUM(RelevéHeuresChantiersParMois!L19:N19)</f>
        <v>0</v>
      </c>
      <c r="M18" s="10"/>
      <c r="N18" s="11"/>
      <c r="O18" s="20">
        <f>SUM(RelevéHeuresChantiersParMois!O19:Q19)</f>
        <v>0</v>
      </c>
      <c r="P18" s="10"/>
      <c r="Q18" s="11"/>
      <c r="R18" s="20">
        <f>SUM(RelevéHeuresChantiersParMois!R19:T19)</f>
        <v>0</v>
      </c>
      <c r="S18" s="10"/>
      <c r="T18" s="11"/>
      <c r="U18" s="20">
        <f>SUM(RelevéHeuresChantiersParMois!U19:W19)</f>
        <v>0</v>
      </c>
      <c r="V18" s="10"/>
      <c r="W18" s="11"/>
      <c r="X18" s="20">
        <f>SUM(RelevéHeuresChantiersParMois!X19:Z19)</f>
        <v>0</v>
      </c>
      <c r="Y18" s="10"/>
      <c r="Z18" s="11"/>
      <c r="AA18" s="20">
        <f>SUM(RelevéHeuresChantiersParMois!AA19:AC19)</f>
        <v>0</v>
      </c>
      <c r="AB18" s="10"/>
      <c r="AC18" s="11"/>
      <c r="AD18" s="20">
        <f>SUM(RelevéHeuresChantiersParMois!AD19:AF19)</f>
        <v>0</v>
      </c>
      <c r="AE18" s="10"/>
      <c r="AF18" s="11"/>
      <c r="AG18" s="20">
        <f>SUM(RelevéHeuresChantiersParMois!AG19:AI19)</f>
        <v>0</v>
      </c>
      <c r="AH18" s="10"/>
      <c r="AI18" s="11"/>
      <c r="AJ18" s="20">
        <f>SUM(RelevéHeuresChantiersParMois!AJ19:AL19)</f>
        <v>0</v>
      </c>
      <c r="AK18" s="10"/>
      <c r="AL18" s="11"/>
      <c r="AM18" s="20">
        <f>SUM(RelevéHeuresChantiersParMois!AM19:AO19)</f>
        <v>0</v>
      </c>
      <c r="AN18" s="10"/>
      <c r="AO18" s="11"/>
      <c r="AP18" s="20">
        <f>SUM(RelevéHeuresChantiersParMois!AP19:AR19)</f>
        <v>0</v>
      </c>
      <c r="AQ18" s="10"/>
      <c r="AR18" s="11"/>
      <c r="AS18" s="20">
        <f>SUM(RelevéHeuresChantiersParMois!AS19:AU19)</f>
        <v>0</v>
      </c>
      <c r="AT18" s="10"/>
      <c r="AU18" s="11"/>
      <c r="AV18" s="20">
        <f>SUM(RelevéHeuresChantiersParMois!AV19:AX19)</f>
        <v>0</v>
      </c>
      <c r="AW18" s="10"/>
      <c r="AX18" s="11"/>
      <c r="AY18" s="20">
        <f>SUM(RelevéHeuresChantiersParMois!AY19:BA19)</f>
        <v>0</v>
      </c>
      <c r="AZ18" s="10"/>
      <c r="BA18" s="11"/>
      <c r="BB18" s="20">
        <f>SUM(RelevéHeuresChantiersParMois!BB19:BD19)</f>
        <v>0</v>
      </c>
      <c r="BC18" s="10"/>
      <c r="BD18" s="11"/>
      <c r="BE18" s="20">
        <f>SUM(RelevéHeuresChantiersParMois!BE19:BG19)</f>
        <v>0</v>
      </c>
      <c r="BF18" s="10"/>
      <c r="BG18" s="11"/>
      <c r="BH18" s="20">
        <f>SUM(RelevéHeuresChantiersParMois!BH19:BJ19)</f>
        <v>0</v>
      </c>
      <c r="BI18" s="10"/>
      <c r="BJ18" s="11"/>
      <c r="BK18" s="20">
        <f>SUM(RelevéHeuresChantiersParMois!BK19:BM19)</f>
        <v>0</v>
      </c>
      <c r="BL18" s="10"/>
      <c r="BM18" s="11"/>
      <c r="BN18" s="20">
        <f>SUM(RelevéHeuresChantiersParMois!BN19:BP19)</f>
        <v>0</v>
      </c>
      <c r="BO18" s="10"/>
      <c r="BP18" s="11"/>
      <c r="BQ18" s="1207"/>
      <c r="BR18" s="19">
        <f t="shared" si="0"/>
        <v>0</v>
      </c>
      <c r="BS18" s="50" t="str">
        <f t="shared" ca="1" si="1"/>
        <v/>
      </c>
      <c r="BT18" s="20">
        <f t="shared" si="2"/>
        <v>0</v>
      </c>
      <c r="BU18" s="21">
        <f t="shared" si="3"/>
        <v>0</v>
      </c>
      <c r="BV18" s="21">
        <f t="shared" si="4"/>
        <v>0</v>
      </c>
      <c r="BW18" s="21">
        <f t="shared" si="5"/>
        <v>0</v>
      </c>
      <c r="BX18" s="100">
        <v>1</v>
      </c>
      <c r="BY18" s="42">
        <f>SUM(BaseDeDonnéesSalariés!L17)</f>
        <v>0</v>
      </c>
      <c r="BZ18" s="45">
        <f t="shared" si="6"/>
        <v>0</v>
      </c>
      <c r="CA18" s="1212"/>
      <c r="CB18" s="51"/>
      <c r="CC18" s="21"/>
      <c r="CD18" s="63"/>
    </row>
    <row r="19" spans="1:82" ht="20.100000000000001" customHeight="1" thickTop="1" thickBot="1">
      <c r="A19" s="19">
        <f>RelevéHeuresChantiersParMois!A20</f>
        <v>0</v>
      </c>
      <c r="B19" s="50" t="str">
        <f ca="1">RelevéHeuresChantiersParMois!B20</f>
        <v/>
      </c>
      <c r="C19" s="20">
        <f>SUM(RelevéHeuresChantiersParMois!C20:E20)</f>
        <v>0</v>
      </c>
      <c r="D19" s="10"/>
      <c r="E19" s="11"/>
      <c r="F19" s="20">
        <f>SUM(RelevéHeuresChantiersParMois!F20:H20)</f>
        <v>0</v>
      </c>
      <c r="G19" s="10"/>
      <c r="H19" s="11"/>
      <c r="I19" s="20">
        <f>SUM(RelevéHeuresChantiersParMois!I20:K20)</f>
        <v>0</v>
      </c>
      <c r="J19" s="10"/>
      <c r="K19" s="11"/>
      <c r="L19" s="20">
        <f>SUM(RelevéHeuresChantiersParMois!L20:N20)</f>
        <v>0</v>
      </c>
      <c r="M19" s="10"/>
      <c r="N19" s="11"/>
      <c r="O19" s="20">
        <f>SUM(RelevéHeuresChantiersParMois!O20:Q20)</f>
        <v>0</v>
      </c>
      <c r="P19" s="10"/>
      <c r="Q19" s="11"/>
      <c r="R19" s="20">
        <f>SUM(RelevéHeuresChantiersParMois!R20:T20)</f>
        <v>0</v>
      </c>
      <c r="S19" s="10"/>
      <c r="T19" s="11"/>
      <c r="U19" s="20">
        <f>SUM(RelevéHeuresChantiersParMois!U20:W20)</f>
        <v>0</v>
      </c>
      <c r="V19" s="10"/>
      <c r="W19" s="11"/>
      <c r="X19" s="20">
        <f>SUM(RelevéHeuresChantiersParMois!X20:Z20)</f>
        <v>0</v>
      </c>
      <c r="Y19" s="10"/>
      <c r="Z19" s="11"/>
      <c r="AA19" s="20">
        <f>SUM(RelevéHeuresChantiersParMois!AA20:AC20)</f>
        <v>0</v>
      </c>
      <c r="AB19" s="10"/>
      <c r="AC19" s="11"/>
      <c r="AD19" s="20">
        <f>SUM(RelevéHeuresChantiersParMois!AD20:AF20)</f>
        <v>0</v>
      </c>
      <c r="AE19" s="10"/>
      <c r="AF19" s="11"/>
      <c r="AG19" s="20">
        <f>SUM(RelevéHeuresChantiersParMois!AG20:AI20)</f>
        <v>0</v>
      </c>
      <c r="AH19" s="10"/>
      <c r="AI19" s="11"/>
      <c r="AJ19" s="20">
        <f>SUM(RelevéHeuresChantiersParMois!AJ20:AL20)</f>
        <v>0</v>
      </c>
      <c r="AK19" s="10"/>
      <c r="AL19" s="11"/>
      <c r="AM19" s="20">
        <f>SUM(RelevéHeuresChantiersParMois!AM20:AO20)</f>
        <v>0</v>
      </c>
      <c r="AN19" s="10"/>
      <c r="AO19" s="11"/>
      <c r="AP19" s="20">
        <f>SUM(RelevéHeuresChantiersParMois!AP20:AR20)</f>
        <v>0</v>
      </c>
      <c r="AQ19" s="10"/>
      <c r="AR19" s="11"/>
      <c r="AS19" s="20">
        <f>SUM(RelevéHeuresChantiersParMois!AS20:AU20)</f>
        <v>0</v>
      </c>
      <c r="AT19" s="10"/>
      <c r="AU19" s="11"/>
      <c r="AV19" s="20">
        <f>SUM(RelevéHeuresChantiersParMois!AV20:AX20)</f>
        <v>0</v>
      </c>
      <c r="AW19" s="10"/>
      <c r="AX19" s="11"/>
      <c r="AY19" s="20">
        <f>SUM(RelevéHeuresChantiersParMois!AY20:BA20)</f>
        <v>0</v>
      </c>
      <c r="AZ19" s="10"/>
      <c r="BA19" s="11"/>
      <c r="BB19" s="20">
        <f>SUM(RelevéHeuresChantiersParMois!BB20:BD20)</f>
        <v>0</v>
      </c>
      <c r="BC19" s="10"/>
      <c r="BD19" s="11"/>
      <c r="BE19" s="20">
        <f>SUM(RelevéHeuresChantiersParMois!BE20:BG20)</f>
        <v>0</v>
      </c>
      <c r="BF19" s="10"/>
      <c r="BG19" s="11"/>
      <c r="BH19" s="20">
        <f>SUM(RelevéHeuresChantiersParMois!BH20:BJ20)</f>
        <v>0</v>
      </c>
      <c r="BI19" s="10"/>
      <c r="BJ19" s="11"/>
      <c r="BK19" s="20">
        <f>SUM(RelevéHeuresChantiersParMois!BK20:BM20)</f>
        <v>0</v>
      </c>
      <c r="BL19" s="10"/>
      <c r="BM19" s="11"/>
      <c r="BN19" s="20">
        <f>SUM(RelevéHeuresChantiersParMois!BN20:BP20)</f>
        <v>0</v>
      </c>
      <c r="BO19" s="10"/>
      <c r="BP19" s="11"/>
      <c r="BQ19" s="1207"/>
      <c r="BR19" s="19">
        <f t="shared" si="0"/>
        <v>0</v>
      </c>
      <c r="BS19" s="50" t="str">
        <f t="shared" ca="1" si="1"/>
        <v/>
      </c>
      <c r="BT19" s="20">
        <f t="shared" si="2"/>
        <v>0</v>
      </c>
      <c r="BU19" s="21">
        <f t="shared" si="3"/>
        <v>0</v>
      </c>
      <c r="BV19" s="21">
        <f t="shared" si="4"/>
        <v>0</v>
      </c>
      <c r="BW19" s="21">
        <f t="shared" si="5"/>
        <v>0</v>
      </c>
      <c r="BX19" s="100">
        <v>1</v>
      </c>
      <c r="BY19" s="42">
        <f>SUM(BaseDeDonnéesSalariés!L18)</f>
        <v>0</v>
      </c>
      <c r="BZ19" s="45">
        <f t="shared" si="6"/>
        <v>0</v>
      </c>
      <c r="CA19" s="1212"/>
      <c r="CB19" s="51"/>
      <c r="CC19" s="21"/>
      <c r="CD19" s="63"/>
    </row>
    <row r="20" spans="1:82" ht="20.100000000000001" customHeight="1" thickTop="1" thickBot="1">
      <c r="A20" s="19">
        <f>RelevéHeuresChantiersParMois!A21</f>
        <v>0</v>
      </c>
      <c r="B20" s="50" t="str">
        <f ca="1">RelevéHeuresChantiersParMois!B21</f>
        <v/>
      </c>
      <c r="C20" s="20">
        <f>SUM(RelevéHeuresChantiersParMois!C21:E21)</f>
        <v>0</v>
      </c>
      <c r="D20" s="10"/>
      <c r="E20" s="11"/>
      <c r="F20" s="20">
        <f>SUM(RelevéHeuresChantiersParMois!F21:H21)</f>
        <v>0</v>
      </c>
      <c r="G20" s="10"/>
      <c r="H20" s="11"/>
      <c r="I20" s="20">
        <f>SUM(RelevéHeuresChantiersParMois!I21:K21)</f>
        <v>0</v>
      </c>
      <c r="J20" s="10"/>
      <c r="K20" s="11"/>
      <c r="L20" s="20">
        <f>SUM(RelevéHeuresChantiersParMois!L21:N21)</f>
        <v>0</v>
      </c>
      <c r="M20" s="10"/>
      <c r="N20" s="11"/>
      <c r="O20" s="20">
        <f>SUM(RelevéHeuresChantiersParMois!O21:Q21)</f>
        <v>0</v>
      </c>
      <c r="P20" s="10"/>
      <c r="Q20" s="11"/>
      <c r="R20" s="20">
        <f>SUM(RelevéHeuresChantiersParMois!R21:T21)</f>
        <v>0</v>
      </c>
      <c r="S20" s="10"/>
      <c r="T20" s="11"/>
      <c r="U20" s="20">
        <f>SUM(RelevéHeuresChantiersParMois!U21:W21)</f>
        <v>0</v>
      </c>
      <c r="V20" s="10"/>
      <c r="W20" s="11"/>
      <c r="X20" s="20">
        <f>SUM(RelevéHeuresChantiersParMois!X21:Z21)</f>
        <v>0</v>
      </c>
      <c r="Y20" s="10"/>
      <c r="Z20" s="11"/>
      <c r="AA20" s="20">
        <f>SUM(RelevéHeuresChantiersParMois!AA21:AC21)</f>
        <v>0</v>
      </c>
      <c r="AB20" s="10"/>
      <c r="AC20" s="11"/>
      <c r="AD20" s="20">
        <f>SUM(RelevéHeuresChantiersParMois!AD21:AF21)</f>
        <v>0</v>
      </c>
      <c r="AE20" s="10"/>
      <c r="AF20" s="11"/>
      <c r="AG20" s="20">
        <f>SUM(RelevéHeuresChantiersParMois!AG21:AI21)</f>
        <v>0</v>
      </c>
      <c r="AH20" s="10"/>
      <c r="AI20" s="11"/>
      <c r="AJ20" s="20">
        <f>SUM(RelevéHeuresChantiersParMois!AJ21:AL21)</f>
        <v>0</v>
      </c>
      <c r="AK20" s="10"/>
      <c r="AL20" s="11"/>
      <c r="AM20" s="20">
        <f>SUM(RelevéHeuresChantiersParMois!AM21:AO21)</f>
        <v>0</v>
      </c>
      <c r="AN20" s="10"/>
      <c r="AO20" s="11"/>
      <c r="AP20" s="20">
        <f>SUM(RelevéHeuresChantiersParMois!AP21:AR21)</f>
        <v>0</v>
      </c>
      <c r="AQ20" s="10"/>
      <c r="AR20" s="11"/>
      <c r="AS20" s="20">
        <f>SUM(RelevéHeuresChantiersParMois!AS21:AU21)</f>
        <v>0</v>
      </c>
      <c r="AT20" s="10"/>
      <c r="AU20" s="11"/>
      <c r="AV20" s="20">
        <f>SUM(RelevéHeuresChantiersParMois!AV21:AX21)</f>
        <v>0</v>
      </c>
      <c r="AW20" s="10"/>
      <c r="AX20" s="11"/>
      <c r="AY20" s="20">
        <f>SUM(RelevéHeuresChantiersParMois!AY21:BA21)</f>
        <v>0</v>
      </c>
      <c r="AZ20" s="10"/>
      <c r="BA20" s="11"/>
      <c r="BB20" s="20">
        <f>SUM(RelevéHeuresChantiersParMois!BB21:BD21)</f>
        <v>0</v>
      </c>
      <c r="BC20" s="10"/>
      <c r="BD20" s="11"/>
      <c r="BE20" s="20">
        <f>SUM(RelevéHeuresChantiersParMois!BE21:BG21)</f>
        <v>0</v>
      </c>
      <c r="BF20" s="10"/>
      <c r="BG20" s="11"/>
      <c r="BH20" s="20">
        <f>SUM(RelevéHeuresChantiersParMois!BH21:BJ21)</f>
        <v>0</v>
      </c>
      <c r="BI20" s="10"/>
      <c r="BJ20" s="11"/>
      <c r="BK20" s="20">
        <f>SUM(RelevéHeuresChantiersParMois!BK21:BM21)</f>
        <v>0</v>
      </c>
      <c r="BL20" s="10"/>
      <c r="BM20" s="11"/>
      <c r="BN20" s="20">
        <f>SUM(RelevéHeuresChantiersParMois!BN21:BP21)</f>
        <v>0</v>
      </c>
      <c r="BO20" s="10"/>
      <c r="BP20" s="11"/>
      <c r="BQ20" s="1207"/>
      <c r="BR20" s="19">
        <f t="shared" si="0"/>
        <v>0</v>
      </c>
      <c r="BS20" s="50" t="str">
        <f t="shared" ca="1" si="1"/>
        <v/>
      </c>
      <c r="BT20" s="20">
        <f t="shared" si="2"/>
        <v>0</v>
      </c>
      <c r="BU20" s="21">
        <f t="shared" si="3"/>
        <v>0</v>
      </c>
      <c r="BV20" s="21">
        <f t="shared" si="4"/>
        <v>0</v>
      </c>
      <c r="BW20" s="21">
        <f t="shared" si="5"/>
        <v>0</v>
      </c>
      <c r="BX20" s="100">
        <v>1</v>
      </c>
      <c r="BY20" s="42">
        <f>SUM(BaseDeDonnéesSalariés!L19)</f>
        <v>0</v>
      </c>
      <c r="BZ20" s="45">
        <f t="shared" si="6"/>
        <v>0</v>
      </c>
      <c r="CA20" s="1212"/>
      <c r="CB20" s="51"/>
      <c r="CC20" s="21"/>
      <c r="CD20" s="63"/>
    </row>
    <row r="21" spans="1:82" ht="20.100000000000001" customHeight="1" thickTop="1" thickBot="1">
      <c r="A21" s="14">
        <f>RelevéHeuresChantiersParMois!A22</f>
        <v>0</v>
      </c>
      <c r="B21" s="15" t="str">
        <f ca="1">RelevéHeuresChantiersParMois!B22</f>
        <v/>
      </c>
      <c r="C21" s="16">
        <f>SUM(RelevéHeuresChantiersParMois!C22:E22)</f>
        <v>0</v>
      </c>
      <c r="D21" s="12"/>
      <c r="E21" s="13"/>
      <c r="F21" s="16">
        <f>SUM(RelevéHeuresChantiersParMois!F22:H22)</f>
        <v>0</v>
      </c>
      <c r="G21" s="12"/>
      <c r="H21" s="13"/>
      <c r="I21" s="16">
        <f>SUM(RelevéHeuresChantiersParMois!I22:K22)</f>
        <v>0</v>
      </c>
      <c r="J21" s="12"/>
      <c r="K21" s="13"/>
      <c r="L21" s="16">
        <f>SUM(RelevéHeuresChantiersParMois!L22:N22)</f>
        <v>0</v>
      </c>
      <c r="M21" s="12"/>
      <c r="N21" s="13"/>
      <c r="O21" s="16">
        <f>SUM(RelevéHeuresChantiersParMois!O22:Q22)</f>
        <v>0</v>
      </c>
      <c r="P21" s="12"/>
      <c r="Q21" s="13"/>
      <c r="R21" s="16">
        <f>SUM(RelevéHeuresChantiersParMois!R22:T22)</f>
        <v>0</v>
      </c>
      <c r="S21" s="12"/>
      <c r="T21" s="13"/>
      <c r="U21" s="16">
        <f>SUM(RelevéHeuresChantiersParMois!U22:W22)</f>
        <v>0</v>
      </c>
      <c r="V21" s="12"/>
      <c r="W21" s="13"/>
      <c r="X21" s="16">
        <f>SUM(RelevéHeuresChantiersParMois!X22:Z22)</f>
        <v>0</v>
      </c>
      <c r="Y21" s="12"/>
      <c r="Z21" s="13"/>
      <c r="AA21" s="16">
        <f>SUM(RelevéHeuresChantiersParMois!AA22:AC22)</f>
        <v>0</v>
      </c>
      <c r="AB21" s="12"/>
      <c r="AC21" s="13"/>
      <c r="AD21" s="16">
        <f>SUM(RelevéHeuresChantiersParMois!AD22:AF22)</f>
        <v>0</v>
      </c>
      <c r="AE21" s="12"/>
      <c r="AF21" s="13"/>
      <c r="AG21" s="16">
        <f>SUM(RelevéHeuresChantiersParMois!AG22:AI22)</f>
        <v>0</v>
      </c>
      <c r="AH21" s="12"/>
      <c r="AI21" s="13"/>
      <c r="AJ21" s="16">
        <f>SUM(RelevéHeuresChantiersParMois!AJ22:AL22)</f>
        <v>0</v>
      </c>
      <c r="AK21" s="12"/>
      <c r="AL21" s="13"/>
      <c r="AM21" s="16">
        <f>SUM(RelevéHeuresChantiersParMois!AM22:AO22)</f>
        <v>0</v>
      </c>
      <c r="AN21" s="12"/>
      <c r="AO21" s="13"/>
      <c r="AP21" s="16">
        <f>SUM(RelevéHeuresChantiersParMois!AP22:AR22)</f>
        <v>0</v>
      </c>
      <c r="AQ21" s="12"/>
      <c r="AR21" s="13"/>
      <c r="AS21" s="16">
        <f>SUM(RelevéHeuresChantiersParMois!AS22:AU22)</f>
        <v>0</v>
      </c>
      <c r="AT21" s="12"/>
      <c r="AU21" s="13"/>
      <c r="AV21" s="16">
        <f>SUM(RelevéHeuresChantiersParMois!AV22:AX22)</f>
        <v>0</v>
      </c>
      <c r="AW21" s="12"/>
      <c r="AX21" s="13"/>
      <c r="AY21" s="16">
        <f>SUM(RelevéHeuresChantiersParMois!AY22:BA22)</f>
        <v>0</v>
      </c>
      <c r="AZ21" s="12"/>
      <c r="BA21" s="13"/>
      <c r="BB21" s="16">
        <f>SUM(RelevéHeuresChantiersParMois!BB22:BD22)</f>
        <v>0</v>
      </c>
      <c r="BC21" s="12"/>
      <c r="BD21" s="13"/>
      <c r="BE21" s="16">
        <f>SUM(RelevéHeuresChantiersParMois!BE22:BG22)</f>
        <v>0</v>
      </c>
      <c r="BF21" s="12"/>
      <c r="BG21" s="13"/>
      <c r="BH21" s="16">
        <f>SUM(RelevéHeuresChantiersParMois!BH22:BJ22)</f>
        <v>0</v>
      </c>
      <c r="BI21" s="12"/>
      <c r="BJ21" s="13"/>
      <c r="BK21" s="16">
        <f>SUM(RelevéHeuresChantiersParMois!BK22:BM22)</f>
        <v>0</v>
      </c>
      <c r="BL21" s="12"/>
      <c r="BM21" s="13"/>
      <c r="BN21" s="16">
        <f>SUM(RelevéHeuresChantiersParMois!BN22:BP22)</f>
        <v>0</v>
      </c>
      <c r="BO21" s="12"/>
      <c r="BP21" s="13"/>
      <c r="BQ21" s="1207"/>
      <c r="BR21" s="14">
        <f t="shared" si="0"/>
        <v>0</v>
      </c>
      <c r="BS21" s="15" t="str">
        <f t="shared" ca="1" si="1"/>
        <v/>
      </c>
      <c r="BT21" s="16">
        <f t="shared" si="2"/>
        <v>0</v>
      </c>
      <c r="BU21" s="17">
        <f t="shared" si="3"/>
        <v>0</v>
      </c>
      <c r="BV21" s="17">
        <f t="shared" si="4"/>
        <v>0</v>
      </c>
      <c r="BW21" s="17">
        <f t="shared" si="5"/>
        <v>0</v>
      </c>
      <c r="BX21" s="101">
        <v>1</v>
      </c>
      <c r="BY21" s="41">
        <f>SUM(BaseDeDonnéesSalariés!L20)</f>
        <v>0</v>
      </c>
      <c r="BZ21" s="44">
        <f t="shared" si="6"/>
        <v>0</v>
      </c>
      <c r="CA21" s="1212"/>
      <c r="CB21" s="52"/>
      <c r="CC21" s="17"/>
      <c r="CD21" s="62"/>
    </row>
    <row r="22" spans="1:82" s="29" customFormat="1" ht="30.75" customHeight="1" thickTop="1" thickBot="1">
      <c r="A22" s="1197"/>
      <c r="B22" s="1198"/>
      <c r="C22" s="22">
        <f>SUM(C3:C21)</f>
        <v>71.5</v>
      </c>
      <c r="D22" s="23">
        <f t="shared" ref="D22:BO22" si="7">SUM(D3:D21)</f>
        <v>1</v>
      </c>
      <c r="E22" s="24">
        <f t="shared" si="7"/>
        <v>0</v>
      </c>
      <c r="F22" s="25">
        <f t="shared" si="7"/>
        <v>44</v>
      </c>
      <c r="G22" s="23">
        <f t="shared" si="7"/>
        <v>1</v>
      </c>
      <c r="H22" s="26">
        <f t="shared" si="7"/>
        <v>0</v>
      </c>
      <c r="I22" s="25">
        <f t="shared" si="7"/>
        <v>77</v>
      </c>
      <c r="J22" s="23">
        <f t="shared" si="7"/>
        <v>1</v>
      </c>
      <c r="K22" s="26">
        <f t="shared" si="7"/>
        <v>0</v>
      </c>
      <c r="L22" s="22">
        <f t="shared" si="7"/>
        <v>55</v>
      </c>
      <c r="M22" s="23">
        <f t="shared" si="7"/>
        <v>1</v>
      </c>
      <c r="N22" s="24">
        <f t="shared" si="7"/>
        <v>2</v>
      </c>
      <c r="O22" s="22">
        <f t="shared" si="7"/>
        <v>77</v>
      </c>
      <c r="P22" s="23">
        <f t="shared" si="7"/>
        <v>1</v>
      </c>
      <c r="Q22" s="24">
        <f t="shared" si="7"/>
        <v>0</v>
      </c>
      <c r="R22" s="22">
        <f t="shared" si="7"/>
        <v>77</v>
      </c>
      <c r="S22" s="23">
        <f t="shared" si="7"/>
        <v>1</v>
      </c>
      <c r="T22" s="24">
        <f t="shared" si="7"/>
        <v>1</v>
      </c>
      <c r="U22" s="22">
        <f t="shared" si="7"/>
        <v>77</v>
      </c>
      <c r="V22" s="23">
        <f t="shared" si="7"/>
        <v>1</v>
      </c>
      <c r="W22" s="24">
        <f t="shared" si="7"/>
        <v>0</v>
      </c>
      <c r="X22" s="22">
        <f t="shared" si="7"/>
        <v>77</v>
      </c>
      <c r="Y22" s="23">
        <f t="shared" si="7"/>
        <v>1</v>
      </c>
      <c r="Z22" s="24">
        <f t="shared" si="7"/>
        <v>0</v>
      </c>
      <c r="AA22" s="22">
        <f t="shared" si="7"/>
        <v>77</v>
      </c>
      <c r="AB22" s="23">
        <f t="shared" si="7"/>
        <v>1</v>
      </c>
      <c r="AC22" s="24">
        <f t="shared" si="7"/>
        <v>0</v>
      </c>
      <c r="AD22" s="22">
        <f t="shared" si="7"/>
        <v>77</v>
      </c>
      <c r="AE22" s="23">
        <f t="shared" si="7"/>
        <v>1</v>
      </c>
      <c r="AF22" s="24">
        <f t="shared" si="7"/>
        <v>0</v>
      </c>
      <c r="AG22" s="22">
        <f t="shared" si="7"/>
        <v>77</v>
      </c>
      <c r="AH22" s="23">
        <f t="shared" si="7"/>
        <v>1</v>
      </c>
      <c r="AI22" s="24">
        <f t="shared" si="7"/>
        <v>0</v>
      </c>
      <c r="AJ22" s="22">
        <f t="shared" si="7"/>
        <v>77</v>
      </c>
      <c r="AK22" s="23">
        <f t="shared" si="7"/>
        <v>1</v>
      </c>
      <c r="AL22" s="24">
        <f t="shared" si="7"/>
        <v>0</v>
      </c>
      <c r="AM22" s="22">
        <f t="shared" si="7"/>
        <v>77</v>
      </c>
      <c r="AN22" s="23">
        <f t="shared" si="7"/>
        <v>1</v>
      </c>
      <c r="AO22" s="24">
        <f t="shared" si="7"/>
        <v>0</v>
      </c>
      <c r="AP22" s="22">
        <f t="shared" si="7"/>
        <v>77</v>
      </c>
      <c r="AQ22" s="23">
        <f t="shared" si="7"/>
        <v>1</v>
      </c>
      <c r="AR22" s="24">
        <f t="shared" si="7"/>
        <v>0</v>
      </c>
      <c r="AS22" s="22">
        <f t="shared" si="7"/>
        <v>77</v>
      </c>
      <c r="AT22" s="23">
        <f t="shared" si="7"/>
        <v>1</v>
      </c>
      <c r="AU22" s="24">
        <f t="shared" si="7"/>
        <v>0</v>
      </c>
      <c r="AV22" s="22">
        <f t="shared" si="7"/>
        <v>77</v>
      </c>
      <c r="AW22" s="23">
        <f t="shared" si="7"/>
        <v>1</v>
      </c>
      <c r="AX22" s="24">
        <f t="shared" si="7"/>
        <v>0</v>
      </c>
      <c r="AY22" s="22">
        <f t="shared" si="7"/>
        <v>77</v>
      </c>
      <c r="AZ22" s="23">
        <f t="shared" si="7"/>
        <v>1</v>
      </c>
      <c r="BA22" s="24">
        <f t="shared" si="7"/>
        <v>0</v>
      </c>
      <c r="BB22" s="22">
        <f t="shared" si="7"/>
        <v>77</v>
      </c>
      <c r="BC22" s="23">
        <f t="shared" si="7"/>
        <v>1</v>
      </c>
      <c r="BD22" s="24">
        <f t="shared" si="7"/>
        <v>0</v>
      </c>
      <c r="BE22" s="22">
        <f t="shared" si="7"/>
        <v>77</v>
      </c>
      <c r="BF22" s="23">
        <f t="shared" si="7"/>
        <v>1</v>
      </c>
      <c r="BG22" s="24">
        <f t="shared" si="7"/>
        <v>0</v>
      </c>
      <c r="BH22" s="22">
        <f t="shared" si="7"/>
        <v>77</v>
      </c>
      <c r="BI22" s="23">
        <f t="shared" si="7"/>
        <v>1</v>
      </c>
      <c r="BJ22" s="24">
        <f t="shared" si="7"/>
        <v>0</v>
      </c>
      <c r="BK22" s="22">
        <f t="shared" si="7"/>
        <v>77</v>
      </c>
      <c r="BL22" s="23">
        <f t="shared" si="7"/>
        <v>1</v>
      </c>
      <c r="BM22" s="24">
        <f t="shared" si="7"/>
        <v>0</v>
      </c>
      <c r="BN22" s="27">
        <f t="shared" si="7"/>
        <v>0</v>
      </c>
      <c r="BO22" s="23">
        <f t="shared" si="7"/>
        <v>1</v>
      </c>
      <c r="BP22" s="28">
        <f>SUM(BP3:BP21)</f>
        <v>0</v>
      </c>
      <c r="BQ22" s="1208"/>
      <c r="BR22" s="1203" t="s">
        <v>36</v>
      </c>
      <c r="BS22" s="1204"/>
      <c r="BT22" s="38">
        <f>SUM(BT3:BT21)</f>
        <v>1556.5</v>
      </c>
      <c r="BU22" s="39">
        <f>SUM(BU3:BU21)</f>
        <v>22</v>
      </c>
      <c r="BV22" s="39">
        <f>SUM(BV3:BV21)</f>
        <v>3</v>
      </c>
      <c r="BW22" s="39">
        <f>SUM(BW3:BW21)</f>
        <v>1578.5</v>
      </c>
      <c r="BX22" s="1195"/>
      <c r="BY22" s="1196"/>
      <c r="BZ22" s="102">
        <f>SUM(BZ3:BZ21)</f>
        <v>4018.5</v>
      </c>
      <c r="CA22" s="1213"/>
      <c r="CB22" s="47"/>
      <c r="CC22" s="40"/>
      <c r="CD22" s="61"/>
    </row>
    <row r="23" spans="1:82" ht="13.5" thickTop="1"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T23" s="53"/>
      <c r="BU23" s="53"/>
      <c r="BV23" s="53"/>
      <c r="BW23" s="53"/>
      <c r="BX23" s="53"/>
      <c r="CB23" s="57"/>
      <c r="CC23" s="53"/>
    </row>
    <row r="24" spans="1:82"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T24" s="53"/>
      <c r="BU24" s="53"/>
      <c r="BV24" s="53"/>
      <c r="BW24" s="53"/>
      <c r="BX24" s="53"/>
      <c r="CB24" s="57"/>
      <c r="CC24" s="53"/>
    </row>
    <row r="25" spans="1:82" ht="15.75">
      <c r="BU25" s="98"/>
    </row>
  </sheetData>
  <sheetProtection selectLockedCells="1"/>
  <mergeCells count="32">
    <mergeCell ref="O1:Q1"/>
    <mergeCell ref="A1:B1"/>
    <mergeCell ref="C1:E1"/>
    <mergeCell ref="F1:H1"/>
    <mergeCell ref="I1:K1"/>
    <mergeCell ref="L1:N1"/>
    <mergeCell ref="AP1:AR1"/>
    <mergeCell ref="AS1:AU1"/>
    <mergeCell ref="AV1:AX1"/>
    <mergeCell ref="AY1:BA1"/>
    <mergeCell ref="R1:T1"/>
    <mergeCell ref="U1:W1"/>
    <mergeCell ref="X1:Z1"/>
    <mergeCell ref="AA1:AC1"/>
    <mergeCell ref="AD1:AF1"/>
    <mergeCell ref="AG1:AI1"/>
    <mergeCell ref="BX2:BY2"/>
    <mergeCell ref="BX22:BY22"/>
    <mergeCell ref="A22:B22"/>
    <mergeCell ref="BR1:BS1"/>
    <mergeCell ref="CB1:CD1"/>
    <mergeCell ref="BR22:BS22"/>
    <mergeCell ref="BQ1:BQ22"/>
    <mergeCell ref="BT1:BZ1"/>
    <mergeCell ref="CA1:CA22"/>
    <mergeCell ref="BB1:BD1"/>
    <mergeCell ref="BE1:BG1"/>
    <mergeCell ref="BH1:BJ1"/>
    <mergeCell ref="BK1:BM1"/>
    <mergeCell ref="BN1:BP1"/>
    <mergeCell ref="AJ1:AL1"/>
    <mergeCell ref="AM1:AO1"/>
  </mergeCells>
  <pageMargins left="3.937007874015748E-2" right="3.937007874015748E-2" top="3.937007874015748E-2" bottom="3.937007874015748E-2" header="0" footer="0"/>
  <pageSetup paperSize="9" scale="88" orientation="landscape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H51"/>
  <sheetViews>
    <sheetView showGridLines="0" showRowColHeaders="0" workbookViewId="0">
      <selection activeCell="C14" sqref="C14"/>
    </sheetView>
  </sheetViews>
  <sheetFormatPr baseColWidth="10" defaultColWidth="11.5703125" defaultRowHeight="15"/>
  <cols>
    <col min="1" max="1" width="1.7109375" style="140" customWidth="1"/>
    <col min="2" max="2" width="3.7109375" style="141" customWidth="1"/>
    <col min="3" max="3" width="41.7109375" style="140" customWidth="1"/>
    <col min="4" max="4" width="14" style="198" customWidth="1"/>
    <col min="5" max="5" width="3.7109375" style="141" customWidth="1"/>
    <col min="6" max="6" width="37.7109375" style="140" customWidth="1"/>
    <col min="7" max="7" width="14" style="161" customWidth="1"/>
    <col min="8" max="8" width="6.42578125" style="141" customWidth="1"/>
    <col min="9" max="16384" width="11.5703125" style="140"/>
  </cols>
  <sheetData>
    <row r="1" spans="2:8" ht="15.75" thickTop="1">
      <c r="B1" s="1217" t="s">
        <v>63</v>
      </c>
      <c r="C1" s="1218"/>
      <c r="D1" s="1218"/>
      <c r="E1" s="1218"/>
      <c r="F1" s="1218"/>
      <c r="G1" s="1219"/>
      <c r="H1" s="1220"/>
    </row>
    <row r="2" spans="2:8" ht="15.75" thickBot="1">
      <c r="B2" s="1221"/>
      <c r="C2" s="1222"/>
      <c r="D2" s="1222"/>
      <c r="E2" s="1222"/>
      <c r="F2" s="1222"/>
      <c r="G2" s="1222"/>
      <c r="H2" s="1223"/>
    </row>
    <row r="3" spans="2:8" ht="20.25" thickTop="1" thickBot="1">
      <c r="B3" s="1230" t="s">
        <v>125</v>
      </c>
      <c r="C3" s="1231"/>
      <c r="D3" s="1231"/>
      <c r="E3" s="1232" t="s">
        <v>126</v>
      </c>
      <c r="F3" s="1233"/>
      <c r="G3" s="1233"/>
      <c r="H3" s="1234"/>
    </row>
    <row r="4" spans="2:8" s="141" customFormat="1" ht="39" thickBot="1">
      <c r="B4" s="211" t="s">
        <v>66</v>
      </c>
      <c r="C4" s="212" t="s">
        <v>67</v>
      </c>
      <c r="D4" s="213" t="s">
        <v>68</v>
      </c>
      <c r="E4" s="214" t="s">
        <v>66</v>
      </c>
      <c r="F4" s="212" t="s">
        <v>67</v>
      </c>
      <c r="G4" s="215" t="s">
        <v>68</v>
      </c>
      <c r="H4" s="216" t="s">
        <v>69</v>
      </c>
    </row>
    <row r="5" spans="2:8" s="170" customFormat="1" ht="19.899999999999999" customHeight="1">
      <c r="B5" s="172">
        <v>60</v>
      </c>
      <c r="C5" s="173" t="s">
        <v>70</v>
      </c>
      <c r="D5" s="182">
        <f>SUM(D6:D9)</f>
        <v>16690</v>
      </c>
      <c r="E5" s="174">
        <v>70</v>
      </c>
      <c r="F5" s="173" t="s">
        <v>71</v>
      </c>
      <c r="G5" s="181">
        <f>G6+G7</f>
        <v>110100</v>
      </c>
      <c r="H5" s="169">
        <f>G5/G43</f>
        <v>0.49367548347465035</v>
      </c>
    </row>
    <row r="6" spans="2:8" ht="19.899999999999999" customHeight="1">
      <c r="B6" s="135"/>
      <c r="C6" s="122" t="s">
        <v>127</v>
      </c>
      <c r="D6" s="183">
        <f>500*2*12</f>
        <v>12000</v>
      </c>
      <c r="E6" s="132"/>
      <c r="F6" s="122" t="s">
        <v>150</v>
      </c>
      <c r="G6" s="152">
        <v>103866</v>
      </c>
      <c r="H6" s="149"/>
    </row>
    <row r="7" spans="2:8" ht="19.899999999999999" customHeight="1">
      <c r="B7" s="135"/>
      <c r="C7" s="122" t="s">
        <v>128</v>
      </c>
      <c r="D7" s="183">
        <f>(5*200*0.35)+(30*12)+(10*12)</f>
        <v>830</v>
      </c>
      <c r="E7" s="132"/>
      <c r="F7" s="122" t="s">
        <v>75</v>
      </c>
      <c r="G7" s="152">
        <v>6234</v>
      </c>
      <c r="H7" s="149"/>
    </row>
    <row r="8" spans="2:8" ht="19.899999999999999" customHeight="1">
      <c r="B8" s="135"/>
      <c r="C8" s="122" t="s">
        <v>129</v>
      </c>
      <c r="D8" s="183">
        <f>550*2*1.4</f>
        <v>1540</v>
      </c>
      <c r="E8" s="132"/>
      <c r="F8" s="122"/>
      <c r="G8" s="152"/>
      <c r="H8" s="149"/>
    </row>
    <row r="9" spans="2:8" ht="19.899999999999999" customHeight="1" thickBot="1">
      <c r="B9" s="136"/>
      <c r="C9" s="123" t="s">
        <v>130</v>
      </c>
      <c r="D9" s="184">
        <v>2320</v>
      </c>
      <c r="E9" s="133"/>
      <c r="F9" s="123"/>
      <c r="G9" s="153"/>
      <c r="H9" s="150"/>
    </row>
    <row r="10" spans="2:8" s="170" customFormat="1" ht="19.899999999999999" customHeight="1">
      <c r="B10" s="172">
        <v>61</v>
      </c>
      <c r="C10" s="173" t="s">
        <v>78</v>
      </c>
      <c r="D10" s="185">
        <f>SUM(D11:D17)</f>
        <v>19431</v>
      </c>
      <c r="E10" s="174"/>
      <c r="F10" s="177"/>
      <c r="G10" s="180"/>
      <c r="H10" s="179"/>
    </row>
    <row r="11" spans="2:8" ht="19.899999999999999" customHeight="1">
      <c r="B11" s="135"/>
      <c r="C11" s="122" t="s">
        <v>131</v>
      </c>
      <c r="D11" s="183">
        <v>1000</v>
      </c>
      <c r="E11" s="132"/>
      <c r="F11" s="122"/>
      <c r="G11" s="152"/>
      <c r="H11" s="149"/>
    </row>
    <row r="12" spans="2:8" ht="19.899999999999999" customHeight="1">
      <c r="B12" s="135"/>
      <c r="C12" s="122" t="s">
        <v>132</v>
      </c>
      <c r="D12" s="183">
        <v>7111</v>
      </c>
      <c r="E12" s="132"/>
      <c r="F12" s="124"/>
      <c r="G12" s="154"/>
      <c r="H12" s="149"/>
    </row>
    <row r="13" spans="2:8" ht="19.899999999999999" customHeight="1">
      <c r="B13" s="135"/>
      <c r="C13" s="122" t="s">
        <v>514</v>
      </c>
      <c r="D13" s="183">
        <f>1050*6</f>
        <v>6300</v>
      </c>
      <c r="E13" s="132"/>
      <c r="F13" s="125"/>
      <c r="G13" s="152"/>
      <c r="H13" s="149"/>
    </row>
    <row r="14" spans="2:8" ht="19.899999999999999" customHeight="1">
      <c r="B14" s="135"/>
      <c r="C14" s="122" t="s">
        <v>142</v>
      </c>
      <c r="D14" s="183">
        <f>40*8</f>
        <v>320</v>
      </c>
      <c r="E14" s="132"/>
      <c r="F14" s="126"/>
      <c r="G14" s="152"/>
      <c r="H14" s="149"/>
    </row>
    <row r="15" spans="2:8" ht="19.899999999999999" customHeight="1">
      <c r="B15" s="135"/>
      <c r="C15" s="122" t="s">
        <v>143</v>
      </c>
      <c r="D15" s="183">
        <v>2400</v>
      </c>
      <c r="E15" s="132"/>
      <c r="F15" s="142"/>
      <c r="G15" s="152"/>
      <c r="H15" s="149"/>
    </row>
    <row r="16" spans="2:8" ht="19.899999999999999" customHeight="1">
      <c r="B16" s="135"/>
      <c r="C16" s="122" t="s">
        <v>133</v>
      </c>
      <c r="D16" s="183">
        <v>1500</v>
      </c>
      <c r="E16" s="132"/>
      <c r="F16" s="122"/>
      <c r="G16" s="152"/>
      <c r="H16" s="149"/>
    </row>
    <row r="17" spans="2:8" ht="19.899999999999999" customHeight="1" thickBot="1">
      <c r="B17" s="136"/>
      <c r="C17" s="123" t="s">
        <v>134</v>
      </c>
      <c r="D17" s="184">
        <v>800</v>
      </c>
      <c r="E17" s="133"/>
      <c r="F17" s="123"/>
      <c r="G17" s="153"/>
      <c r="H17" s="150"/>
    </row>
    <row r="18" spans="2:8" s="170" customFormat="1" ht="19.899999999999999" customHeight="1">
      <c r="B18" s="175">
        <v>62</v>
      </c>
      <c r="C18" s="176" t="s">
        <v>85</v>
      </c>
      <c r="D18" s="186">
        <f>SUM(D19:D25)</f>
        <v>8292</v>
      </c>
      <c r="E18" s="174"/>
      <c r="F18" s="177"/>
      <c r="G18" s="178"/>
      <c r="H18" s="179"/>
    </row>
    <row r="19" spans="2:8" ht="19.899999999999999" customHeight="1">
      <c r="B19" s="135"/>
      <c r="C19" s="122" t="s">
        <v>135</v>
      </c>
      <c r="D19" s="183">
        <v>3552</v>
      </c>
      <c r="E19" s="132"/>
      <c r="F19" s="125"/>
      <c r="G19" s="152"/>
      <c r="H19" s="149"/>
    </row>
    <row r="20" spans="2:8" ht="19.899999999999999" customHeight="1">
      <c r="B20" s="135"/>
      <c r="C20" s="122" t="s">
        <v>136</v>
      </c>
      <c r="D20" s="183">
        <f>(100*2)+500</f>
        <v>700</v>
      </c>
      <c r="E20" s="132"/>
      <c r="F20" s="143"/>
      <c r="G20" s="155"/>
      <c r="H20" s="149"/>
    </row>
    <row r="21" spans="2:8" ht="19.899999999999999" customHeight="1">
      <c r="B21" s="135"/>
      <c r="C21" s="122" t="s">
        <v>137</v>
      </c>
      <c r="D21" s="183">
        <v>240</v>
      </c>
      <c r="E21" s="132"/>
      <c r="F21" s="143"/>
      <c r="G21" s="155"/>
      <c r="H21" s="149"/>
    </row>
    <row r="22" spans="2:8" ht="19.899999999999999" customHeight="1">
      <c r="B22" s="135"/>
      <c r="C22" s="122" t="s">
        <v>89</v>
      </c>
      <c r="D22" s="183">
        <v>620</v>
      </c>
      <c r="E22" s="132"/>
      <c r="F22" s="122"/>
      <c r="G22" s="152"/>
      <c r="H22" s="149"/>
    </row>
    <row r="23" spans="2:8" ht="19.899999999999999" customHeight="1">
      <c r="B23" s="135"/>
      <c r="C23" s="122" t="s">
        <v>138</v>
      </c>
      <c r="D23" s="183">
        <v>1400</v>
      </c>
      <c r="E23" s="132"/>
      <c r="F23" s="122"/>
      <c r="G23" s="152"/>
      <c r="H23" s="149"/>
    </row>
    <row r="24" spans="2:8" ht="19.899999999999999" customHeight="1">
      <c r="B24" s="137">
        <v>628</v>
      </c>
      <c r="C24" s="122" t="s">
        <v>91</v>
      </c>
      <c r="D24" s="183">
        <v>1600</v>
      </c>
      <c r="E24" s="132"/>
      <c r="F24" s="122"/>
      <c r="G24" s="152"/>
      <c r="H24" s="149"/>
    </row>
    <row r="25" spans="2:8" ht="19.899999999999999" customHeight="1" thickBot="1">
      <c r="B25" s="138"/>
      <c r="C25" s="127" t="s">
        <v>139</v>
      </c>
      <c r="D25" s="187">
        <v>180</v>
      </c>
      <c r="E25" s="133"/>
      <c r="F25" s="123"/>
      <c r="G25" s="203"/>
      <c r="H25" s="204"/>
    </row>
    <row r="26" spans="2:8" ht="19.899999999999999" customHeight="1" thickBot="1">
      <c r="B26" s="139">
        <v>63</v>
      </c>
      <c r="C26" s="128" t="s">
        <v>93</v>
      </c>
      <c r="D26" s="188">
        <v>1500</v>
      </c>
      <c r="E26" s="134"/>
      <c r="F26" s="129"/>
      <c r="G26" s="156"/>
      <c r="H26" s="207"/>
    </row>
    <row r="27" spans="2:8" s="170" customFormat="1" ht="19.899999999999999" customHeight="1">
      <c r="B27" s="172">
        <v>64</v>
      </c>
      <c r="C27" s="173" t="s">
        <v>94</v>
      </c>
      <c r="D27" s="189">
        <f>SUM(D28:D35)</f>
        <v>175108</v>
      </c>
      <c r="E27" s="174">
        <v>74</v>
      </c>
      <c r="F27" s="173" t="s">
        <v>95</v>
      </c>
      <c r="G27" s="205">
        <f>SUM(G28:G36)</f>
        <v>110121</v>
      </c>
      <c r="H27" s="206">
        <f>G27/G43</f>
        <v>0.49376964501100795</v>
      </c>
    </row>
    <row r="28" spans="2:8" ht="19.899999999999999" customHeight="1">
      <c r="B28" s="135"/>
      <c r="C28" s="122" t="s">
        <v>140</v>
      </c>
      <c r="D28" s="190">
        <v>75818</v>
      </c>
      <c r="E28" s="132"/>
      <c r="F28" s="125" t="s">
        <v>97</v>
      </c>
      <c r="G28" s="157">
        <v>600</v>
      </c>
      <c r="H28" s="149"/>
    </row>
    <row r="29" spans="2:8" ht="19.899999999999999" customHeight="1">
      <c r="B29" s="135"/>
      <c r="C29" s="122" t="s">
        <v>144</v>
      </c>
      <c r="D29" s="190">
        <v>36540</v>
      </c>
      <c r="E29" s="132"/>
      <c r="F29" s="126" t="s">
        <v>141</v>
      </c>
      <c r="G29" s="157">
        <v>12500</v>
      </c>
      <c r="H29" s="149"/>
    </row>
    <row r="30" spans="2:8" ht="19.899999999999999" customHeight="1">
      <c r="B30" s="135"/>
      <c r="C30" s="122" t="s">
        <v>145</v>
      </c>
      <c r="D30" s="190">
        <v>4700</v>
      </c>
      <c r="E30" s="132"/>
      <c r="F30" s="125" t="s">
        <v>99</v>
      </c>
      <c r="G30" s="157">
        <v>1814</v>
      </c>
      <c r="H30" s="149"/>
    </row>
    <row r="31" spans="2:8" ht="19.899999999999999" customHeight="1">
      <c r="B31" s="135"/>
      <c r="C31" s="122" t="s">
        <v>146</v>
      </c>
      <c r="D31" s="190">
        <v>38477</v>
      </c>
      <c r="E31" s="132"/>
      <c r="F31" s="122" t="s">
        <v>101</v>
      </c>
      <c r="G31" s="157">
        <v>0</v>
      </c>
      <c r="H31" s="149"/>
    </row>
    <row r="32" spans="2:8" ht="19.899999999999999" customHeight="1">
      <c r="B32" s="135"/>
      <c r="C32" s="125" t="s">
        <v>102</v>
      </c>
      <c r="D32" s="190">
        <v>14000</v>
      </c>
      <c r="E32" s="132"/>
      <c r="F32" s="122" t="s">
        <v>103</v>
      </c>
      <c r="G32" s="157">
        <v>69225</v>
      </c>
      <c r="H32" s="149"/>
    </row>
    <row r="33" spans="2:8" ht="19.899999999999999" customHeight="1">
      <c r="B33" s="135"/>
      <c r="C33" s="122" t="s">
        <v>147</v>
      </c>
      <c r="D33" s="190">
        <v>825</v>
      </c>
      <c r="E33" s="132"/>
      <c r="F33" s="122" t="s">
        <v>105</v>
      </c>
      <c r="G33" s="157">
        <v>6940</v>
      </c>
      <c r="H33" s="149"/>
    </row>
    <row r="34" spans="2:8" ht="19.899999999999999" customHeight="1">
      <c r="B34" s="135"/>
      <c r="C34" s="122" t="s">
        <v>148</v>
      </c>
      <c r="D34" s="190">
        <v>4314</v>
      </c>
      <c r="E34" s="132"/>
      <c r="F34" s="125" t="s">
        <v>107</v>
      </c>
      <c r="G34" s="157">
        <v>6000</v>
      </c>
      <c r="H34" s="149"/>
    </row>
    <row r="35" spans="2:8" ht="19.899999999999999" customHeight="1">
      <c r="B35" s="135"/>
      <c r="C35" s="122" t="s">
        <v>115</v>
      </c>
      <c r="D35" s="190">
        <v>434</v>
      </c>
      <c r="E35" s="132"/>
      <c r="F35" s="122" t="s">
        <v>109</v>
      </c>
      <c r="G35" s="157">
        <v>3042</v>
      </c>
      <c r="H35" s="149"/>
    </row>
    <row r="36" spans="2:8" ht="19.899999999999999" customHeight="1" thickBot="1">
      <c r="B36" s="136"/>
      <c r="C36" s="123"/>
      <c r="D36" s="191"/>
      <c r="E36" s="133"/>
      <c r="F36" s="123" t="s">
        <v>110</v>
      </c>
      <c r="G36" s="158">
        <v>10000</v>
      </c>
      <c r="H36" s="204"/>
    </row>
    <row r="37" spans="2:8" s="170" customFormat="1" ht="19.899999999999999" customHeight="1">
      <c r="B37" s="166">
        <v>65</v>
      </c>
      <c r="C37" s="167" t="s">
        <v>111</v>
      </c>
      <c r="D37" s="192"/>
      <c r="E37" s="168">
        <v>75</v>
      </c>
      <c r="F37" s="167" t="s">
        <v>154</v>
      </c>
      <c r="G37" s="163">
        <f>SUM(G38:G39)</f>
        <v>2800</v>
      </c>
      <c r="H37" s="208">
        <f>G37/G43</f>
        <v>1.2554871514341698E-2</v>
      </c>
    </row>
    <row r="38" spans="2:8" ht="19.899999999999999" customHeight="1">
      <c r="B38" s="135"/>
      <c r="C38" s="122"/>
      <c r="D38" s="193"/>
      <c r="E38" s="132"/>
      <c r="F38" s="122" t="s">
        <v>149</v>
      </c>
      <c r="G38" s="157">
        <v>300</v>
      </c>
      <c r="H38" s="149"/>
    </row>
    <row r="39" spans="2:8" ht="19.899999999999999" customHeight="1">
      <c r="B39" s="135">
        <v>66</v>
      </c>
      <c r="C39" s="124" t="s">
        <v>151</v>
      </c>
      <c r="D39" s="194">
        <f>SUM(D40)</f>
        <v>2000</v>
      </c>
      <c r="E39" s="132"/>
      <c r="F39" s="122" t="s">
        <v>115</v>
      </c>
      <c r="G39" s="157">
        <v>2500</v>
      </c>
      <c r="H39" s="149"/>
    </row>
    <row r="40" spans="2:8" ht="19.899999999999999" customHeight="1">
      <c r="B40" s="135"/>
      <c r="C40" s="122" t="s">
        <v>152</v>
      </c>
      <c r="D40" s="195">
        <v>2000</v>
      </c>
      <c r="E40" s="144"/>
      <c r="F40" s="143"/>
      <c r="G40" s="159"/>
      <c r="H40" s="149"/>
    </row>
    <row r="41" spans="2:8" ht="19.899999999999999" customHeight="1">
      <c r="B41" s="135"/>
      <c r="C41" s="122" t="s">
        <v>153</v>
      </c>
      <c r="D41" s="195"/>
      <c r="E41" s="132"/>
      <c r="F41" s="143"/>
      <c r="G41" s="159"/>
      <c r="H41" s="149"/>
    </row>
    <row r="42" spans="2:8" ht="19.899999999999999" customHeight="1" thickBot="1">
      <c r="B42" s="145"/>
      <c r="C42" s="209"/>
      <c r="D42" s="196"/>
      <c r="E42" s="146"/>
      <c r="F42" s="147"/>
      <c r="G42" s="160"/>
      <c r="H42" s="149"/>
    </row>
    <row r="43" spans="2:8" ht="19.899999999999999" customHeight="1" thickBot="1">
      <c r="B43" s="1237" t="s">
        <v>155</v>
      </c>
      <c r="C43" s="1238"/>
      <c r="D43" s="197">
        <f>D5+D10+D18+D26+D27+D37+D39</f>
        <v>223021</v>
      </c>
      <c r="E43" s="1239" t="s">
        <v>118</v>
      </c>
      <c r="F43" s="1238"/>
      <c r="G43" s="162">
        <f>G5+G27+G37</f>
        <v>223021</v>
      </c>
      <c r="H43" s="151"/>
    </row>
    <row r="44" spans="2:8" ht="16.5" thickTop="1" thickBot="1"/>
    <row r="45" spans="2:8" ht="19.899999999999999" customHeight="1" thickTop="1">
      <c r="B45" s="1235" t="s">
        <v>120</v>
      </c>
      <c r="C45" s="1236"/>
      <c r="D45" s="199">
        <f>D43-D6-D15-G27-G37</f>
        <v>95700</v>
      </c>
    </row>
    <row r="46" spans="2:8" ht="19.899999999999999" customHeight="1">
      <c r="B46" s="1228" t="s">
        <v>121</v>
      </c>
      <c r="C46" s="1229"/>
      <c r="D46" s="200">
        <v>5500</v>
      </c>
      <c r="F46" s="210">
        <f>D46/11-100</f>
        <v>400</v>
      </c>
    </row>
    <row r="47" spans="2:8" ht="19.899999999999999" customHeight="1" thickBot="1">
      <c r="B47" s="1224" t="s">
        <v>122</v>
      </c>
      <c r="C47" s="1225"/>
      <c r="D47" s="202">
        <f>D45/D46</f>
        <v>17.399999999999999</v>
      </c>
    </row>
    <row r="48" spans="2:8" ht="19.899999999999999" customHeight="1" thickTop="1">
      <c r="B48" s="1226" t="s">
        <v>123</v>
      </c>
      <c r="C48" s="1227"/>
      <c r="D48" s="201">
        <f>G5</f>
        <v>110100</v>
      </c>
    </row>
    <row r="49" spans="2:4" ht="19.899999999999999" customHeight="1">
      <c r="B49" s="1228" t="s">
        <v>121</v>
      </c>
      <c r="C49" s="1229"/>
      <c r="D49" s="200">
        <v>5500</v>
      </c>
    </row>
    <row r="50" spans="2:4" ht="19.899999999999999" customHeight="1" thickBot="1">
      <c r="B50" s="1224" t="s">
        <v>124</v>
      </c>
      <c r="C50" s="1225"/>
      <c r="D50" s="202">
        <f>D48/D49</f>
        <v>20.018181818181819</v>
      </c>
    </row>
    <row r="51" spans="2:4" ht="15.75" thickTop="1"/>
  </sheetData>
  <sheetProtection password="CDAE" sheet="1" selectLockedCells="1"/>
  <mergeCells count="11">
    <mergeCell ref="B1:H2"/>
    <mergeCell ref="B47:C47"/>
    <mergeCell ref="B48:C48"/>
    <mergeCell ref="B49:C49"/>
    <mergeCell ref="B50:C50"/>
    <mergeCell ref="B3:D3"/>
    <mergeCell ref="E3:H3"/>
    <mergeCell ref="B45:C45"/>
    <mergeCell ref="B46:C46"/>
    <mergeCell ref="B43:C43"/>
    <mergeCell ref="E43:F43"/>
  </mergeCells>
  <pageMargins left="3.937007874015748E-2" right="3.937007874015748E-2" top="3.937007874015748E-2" bottom="3.937007874015748E-2" header="0" footer="0"/>
  <pageSetup paperSize="9" scale="80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H47"/>
  <sheetViews>
    <sheetView showGridLines="0" workbookViewId="0">
      <selection activeCell="F35" sqref="F35"/>
    </sheetView>
  </sheetViews>
  <sheetFormatPr baseColWidth="10" defaultColWidth="11.5703125" defaultRowHeight="15"/>
  <cols>
    <col min="1" max="1" width="1.7109375" style="140" customWidth="1"/>
    <col min="2" max="2" width="3.7109375" style="141" customWidth="1"/>
    <col min="3" max="3" width="40.28515625" style="140" customWidth="1"/>
    <col min="4" max="4" width="14.140625" style="161" customWidth="1"/>
    <col min="5" max="5" width="6.5703125" style="141" customWidth="1"/>
    <col min="6" max="6" width="36.5703125" style="140" customWidth="1"/>
    <col min="7" max="7" width="14.7109375" style="161" customWidth="1"/>
    <col min="8" max="8" width="4.85546875" style="141" customWidth="1"/>
    <col min="9" max="16384" width="11.5703125" style="140"/>
  </cols>
  <sheetData>
    <row r="1" spans="2:8" ht="15.75" thickTop="1">
      <c r="B1" s="1217" t="s">
        <v>156</v>
      </c>
      <c r="C1" s="1219"/>
      <c r="D1" s="1219"/>
      <c r="E1" s="1219"/>
      <c r="F1" s="1219"/>
      <c r="G1" s="1219"/>
      <c r="H1" s="1220"/>
    </row>
    <row r="2" spans="2:8" ht="15.75" thickBot="1">
      <c r="B2" s="1245"/>
      <c r="C2" s="1246"/>
      <c r="D2" s="1246"/>
      <c r="E2" s="1246"/>
      <c r="F2" s="1246"/>
      <c r="G2" s="1246"/>
      <c r="H2" s="1247"/>
    </row>
    <row r="3" spans="2:8" ht="19.5" thickBot="1">
      <c r="B3" s="1240" t="s">
        <v>125</v>
      </c>
      <c r="C3" s="1241"/>
      <c r="D3" s="1241"/>
      <c r="E3" s="1242" t="s">
        <v>126</v>
      </c>
      <c r="F3" s="1243"/>
      <c r="G3" s="1243"/>
      <c r="H3" s="1244"/>
    </row>
    <row r="4" spans="2:8" ht="39" thickBot="1">
      <c r="B4" s="211" t="s">
        <v>66</v>
      </c>
      <c r="C4" s="212" t="s">
        <v>67</v>
      </c>
      <c r="D4" s="278" t="s">
        <v>68</v>
      </c>
      <c r="E4" s="214" t="s">
        <v>66</v>
      </c>
      <c r="F4" s="212" t="s">
        <v>67</v>
      </c>
      <c r="G4" s="279" t="s">
        <v>68</v>
      </c>
      <c r="H4" s="280" t="s">
        <v>69</v>
      </c>
    </row>
    <row r="5" spans="2:8" ht="19.899999999999999" customHeight="1">
      <c r="B5" s="171">
        <v>60</v>
      </c>
      <c r="C5" s="217" t="s">
        <v>70</v>
      </c>
      <c r="D5" s="257">
        <f>SUM(D6:D9)</f>
        <v>16690</v>
      </c>
      <c r="E5" s="246">
        <v>70</v>
      </c>
      <c r="F5" s="217" t="s">
        <v>71</v>
      </c>
      <c r="G5" s="257">
        <f>G6+G7+3500</f>
        <v>120003</v>
      </c>
      <c r="H5" s="281">
        <f>G5/G44</f>
        <v>0.48789045506844525</v>
      </c>
    </row>
    <row r="6" spans="2:8" ht="19.899999999999999" customHeight="1">
      <c r="B6" s="251"/>
      <c r="C6" s="219" t="s">
        <v>72</v>
      </c>
      <c r="D6" s="267">
        <f>500*2*12</f>
        <v>12000</v>
      </c>
      <c r="E6" s="247"/>
      <c r="F6" s="219" t="s">
        <v>73</v>
      </c>
      <c r="G6" s="258">
        <v>104035</v>
      </c>
      <c r="H6" s="282"/>
    </row>
    <row r="7" spans="2:8" ht="19.899999999999999" customHeight="1">
      <c r="B7" s="251"/>
      <c r="C7" s="219" t="s">
        <v>74</v>
      </c>
      <c r="D7" s="267">
        <f>(5*200*0.35)+(30*12)+(10*12)</f>
        <v>830</v>
      </c>
      <c r="E7" s="247"/>
      <c r="F7" s="219" t="s">
        <v>75</v>
      </c>
      <c r="G7" s="258">
        <f>4156*3</f>
        <v>12468</v>
      </c>
      <c r="H7" s="282"/>
    </row>
    <row r="8" spans="2:8" ht="19.899999999999999" customHeight="1">
      <c r="B8" s="251"/>
      <c r="C8" s="219" t="s">
        <v>76</v>
      </c>
      <c r="D8" s="267">
        <f>550*2*1.4</f>
        <v>1540</v>
      </c>
      <c r="E8" s="247"/>
      <c r="F8" s="219"/>
      <c r="G8" s="258"/>
      <c r="H8" s="282"/>
    </row>
    <row r="9" spans="2:8" ht="19.899999999999999" customHeight="1" thickBot="1">
      <c r="B9" s="252"/>
      <c r="C9" s="221" t="s">
        <v>77</v>
      </c>
      <c r="D9" s="268">
        <v>2320</v>
      </c>
      <c r="E9" s="248"/>
      <c r="F9" s="221"/>
      <c r="G9" s="259"/>
      <c r="H9" s="283"/>
    </row>
    <row r="10" spans="2:8" ht="19.899999999999999" customHeight="1">
      <c r="B10" s="171">
        <v>61</v>
      </c>
      <c r="C10" s="217" t="s">
        <v>78</v>
      </c>
      <c r="D10" s="269">
        <f>SUM(D11:D16)</f>
        <v>12791</v>
      </c>
      <c r="E10" s="246"/>
      <c r="F10" s="223"/>
      <c r="G10" s="260"/>
      <c r="H10" s="284"/>
    </row>
    <row r="11" spans="2:8" ht="19.899999999999999" customHeight="1">
      <c r="B11" s="251"/>
      <c r="C11" s="219" t="s">
        <v>79</v>
      </c>
      <c r="D11" s="267">
        <v>1000</v>
      </c>
      <c r="E11" s="247"/>
      <c r="F11" s="219"/>
      <c r="G11" s="258"/>
      <c r="H11" s="282"/>
    </row>
    <row r="12" spans="2:8" ht="19.899999999999999" customHeight="1">
      <c r="B12" s="251"/>
      <c r="C12" s="219" t="s">
        <v>80</v>
      </c>
      <c r="D12" s="267">
        <v>7111</v>
      </c>
      <c r="E12" s="247"/>
      <c r="F12" s="224"/>
      <c r="G12" s="261"/>
      <c r="H12" s="282"/>
    </row>
    <row r="13" spans="2:8" ht="19.899999999999999" customHeight="1">
      <c r="B13" s="251"/>
      <c r="C13" s="219" t="s">
        <v>81</v>
      </c>
      <c r="D13" s="267">
        <f>40*12</f>
        <v>480</v>
      </c>
      <c r="E13" s="247"/>
      <c r="F13" s="219"/>
      <c r="G13" s="258"/>
      <c r="H13" s="282"/>
    </row>
    <row r="14" spans="2:8" ht="19.899999999999999" customHeight="1">
      <c r="B14" s="251"/>
      <c r="C14" s="219" t="s">
        <v>82</v>
      </c>
      <c r="D14" s="267">
        <v>2400</v>
      </c>
      <c r="E14" s="247"/>
      <c r="F14" s="285"/>
      <c r="G14" s="258"/>
      <c r="H14" s="282"/>
    </row>
    <row r="15" spans="2:8" ht="19.899999999999999" customHeight="1">
      <c r="B15" s="251"/>
      <c r="C15" s="219" t="s">
        <v>83</v>
      </c>
      <c r="D15" s="267">
        <v>1500</v>
      </c>
      <c r="E15" s="247"/>
      <c r="F15" s="219"/>
      <c r="G15" s="258"/>
      <c r="H15" s="282"/>
    </row>
    <row r="16" spans="2:8" ht="19.899999999999999" customHeight="1" thickBot="1">
      <c r="B16" s="252"/>
      <c r="C16" s="221" t="s">
        <v>84</v>
      </c>
      <c r="D16" s="268">
        <v>300</v>
      </c>
      <c r="E16" s="248"/>
      <c r="F16" s="221"/>
      <c r="G16" s="259"/>
      <c r="H16" s="283"/>
    </row>
    <row r="17" spans="2:8" ht="19.899999999999999" customHeight="1">
      <c r="B17" s="251">
        <v>62</v>
      </c>
      <c r="C17" s="224" t="s">
        <v>85</v>
      </c>
      <c r="D17" s="270">
        <f>SUM(D18:D26)</f>
        <v>9392</v>
      </c>
      <c r="E17" s="246"/>
      <c r="F17" s="223"/>
      <c r="G17" s="260"/>
      <c r="H17" s="284"/>
    </row>
    <row r="18" spans="2:8" ht="19.899999999999999" customHeight="1">
      <c r="B18" s="251"/>
      <c r="C18" s="219" t="s">
        <v>86</v>
      </c>
      <c r="D18" s="267">
        <f>96*12+1200</f>
        <v>2352</v>
      </c>
      <c r="E18" s="247"/>
      <c r="F18" s="231"/>
      <c r="G18" s="258"/>
      <c r="H18" s="282"/>
    </row>
    <row r="19" spans="2:8" ht="19.899999999999999" customHeight="1">
      <c r="B19" s="251"/>
      <c r="C19" s="219" t="s">
        <v>157</v>
      </c>
      <c r="D19" s="267">
        <v>1500</v>
      </c>
      <c r="E19" s="247"/>
      <c r="F19" s="219"/>
      <c r="G19" s="258"/>
      <c r="H19" s="282"/>
    </row>
    <row r="20" spans="2:8" ht="19.899999999999999" customHeight="1">
      <c r="B20" s="251"/>
      <c r="C20" s="219" t="s">
        <v>158</v>
      </c>
      <c r="D20" s="267">
        <v>700</v>
      </c>
      <c r="E20" s="247"/>
      <c r="F20" s="219"/>
      <c r="G20" s="258"/>
      <c r="H20" s="282"/>
    </row>
    <row r="21" spans="2:8" ht="19.899999999999999" customHeight="1">
      <c r="B21" s="251"/>
      <c r="C21" s="219" t="s">
        <v>87</v>
      </c>
      <c r="D21" s="267">
        <f>(100*2)+500</f>
        <v>700</v>
      </c>
      <c r="E21" s="247"/>
      <c r="F21" s="286"/>
      <c r="G21" s="287"/>
      <c r="H21" s="282"/>
    </row>
    <row r="22" spans="2:8" ht="19.899999999999999" customHeight="1">
      <c r="B22" s="251"/>
      <c r="C22" s="219" t="s">
        <v>88</v>
      </c>
      <c r="D22" s="267">
        <v>240</v>
      </c>
      <c r="E22" s="247"/>
      <c r="F22" s="286"/>
      <c r="G22" s="287"/>
      <c r="H22" s="282"/>
    </row>
    <row r="23" spans="2:8" ht="19.899999999999999" customHeight="1">
      <c r="B23" s="251"/>
      <c r="C23" s="219" t="s">
        <v>89</v>
      </c>
      <c r="D23" s="267">
        <v>720</v>
      </c>
      <c r="E23" s="247"/>
      <c r="F23" s="219"/>
      <c r="G23" s="258"/>
      <c r="H23" s="282"/>
    </row>
    <row r="24" spans="2:8" ht="19.899999999999999" customHeight="1">
      <c r="B24" s="251"/>
      <c r="C24" s="219" t="s">
        <v>90</v>
      </c>
      <c r="D24" s="267">
        <v>1400</v>
      </c>
      <c r="E24" s="247"/>
      <c r="F24" s="219"/>
      <c r="G24" s="258"/>
      <c r="H24" s="282"/>
    </row>
    <row r="25" spans="2:8" ht="19.899999999999999" customHeight="1">
      <c r="B25" s="253">
        <v>628</v>
      </c>
      <c r="C25" s="219" t="s">
        <v>159</v>
      </c>
      <c r="D25" s="267">
        <v>1600</v>
      </c>
      <c r="E25" s="247"/>
      <c r="F25" s="219"/>
      <c r="G25" s="258"/>
      <c r="H25" s="282"/>
    </row>
    <row r="26" spans="2:8" ht="19.899999999999999" customHeight="1" thickBot="1">
      <c r="B26" s="254"/>
      <c r="C26" s="225" t="s">
        <v>92</v>
      </c>
      <c r="D26" s="271">
        <v>180</v>
      </c>
      <c r="E26" s="248"/>
      <c r="F26" s="221"/>
      <c r="G26" s="259"/>
      <c r="H26" s="283"/>
    </row>
    <row r="27" spans="2:8" ht="19.899999999999999" customHeight="1" thickBot="1">
      <c r="B27" s="255">
        <v>63</v>
      </c>
      <c r="C27" s="226" t="s">
        <v>93</v>
      </c>
      <c r="D27" s="272">
        <v>1500</v>
      </c>
      <c r="E27" s="249"/>
      <c r="F27" s="228"/>
      <c r="G27" s="262"/>
      <c r="H27" s="288"/>
    </row>
    <row r="28" spans="2:8" ht="19.899999999999999" customHeight="1">
      <c r="B28" s="171">
        <v>64</v>
      </c>
      <c r="C28" s="217" t="s">
        <v>94</v>
      </c>
      <c r="D28" s="273">
        <f>SUM(D29:D36)</f>
        <v>200590</v>
      </c>
      <c r="E28" s="246">
        <v>74</v>
      </c>
      <c r="F28" s="217" t="s">
        <v>95</v>
      </c>
      <c r="G28" s="257">
        <f>SUM(G29:G37)</f>
        <v>123160</v>
      </c>
      <c r="H28" s="289">
        <f>G28/G44</f>
        <v>0.50072571890894157</v>
      </c>
    </row>
    <row r="29" spans="2:8" ht="19.899999999999999" customHeight="1">
      <c r="B29" s="251"/>
      <c r="C29" s="219" t="s">
        <v>96</v>
      </c>
      <c r="D29" s="274">
        <f>14000*6</f>
        <v>84000</v>
      </c>
      <c r="E29" s="247"/>
      <c r="F29" s="229" t="s">
        <v>97</v>
      </c>
      <c r="G29" s="263">
        <v>600</v>
      </c>
      <c r="H29" s="282"/>
    </row>
    <row r="30" spans="2:8" ht="19.899999999999999" customHeight="1">
      <c r="B30" s="251"/>
      <c r="C30" s="219" t="s">
        <v>98</v>
      </c>
      <c r="D30" s="274">
        <v>36540</v>
      </c>
      <c r="E30" s="247"/>
      <c r="F30" s="230" t="s">
        <v>160</v>
      </c>
      <c r="G30" s="263">
        <v>15000</v>
      </c>
      <c r="H30" s="282"/>
    </row>
    <row r="31" spans="2:8" ht="19.899999999999999" customHeight="1">
      <c r="B31" s="251"/>
      <c r="C31" s="219" t="s">
        <v>161</v>
      </c>
      <c r="D31" s="274">
        <f>4700*3</f>
        <v>14100</v>
      </c>
      <c r="E31" s="247"/>
      <c r="F31" s="229" t="s">
        <v>99</v>
      </c>
      <c r="G31" s="263">
        <v>1814</v>
      </c>
      <c r="H31" s="282"/>
    </row>
    <row r="32" spans="2:8" ht="19.899999999999999" customHeight="1">
      <c r="B32" s="251"/>
      <c r="C32" s="219" t="s">
        <v>100</v>
      </c>
      <c r="D32" s="274">
        <v>38477</v>
      </c>
      <c r="E32" s="247"/>
      <c r="F32" s="230"/>
      <c r="G32" s="263"/>
      <c r="H32" s="282"/>
    </row>
    <row r="33" spans="2:8" ht="19.899999999999999" customHeight="1">
      <c r="B33" s="251"/>
      <c r="C33" s="231" t="s">
        <v>102</v>
      </c>
      <c r="D33" s="274">
        <v>21900</v>
      </c>
      <c r="E33" s="247"/>
      <c r="F33" s="230" t="s">
        <v>103</v>
      </c>
      <c r="G33" s="263">
        <v>76680</v>
      </c>
      <c r="H33" s="282"/>
    </row>
    <row r="34" spans="2:8" ht="19.899999999999999" customHeight="1">
      <c r="B34" s="251"/>
      <c r="C34" s="219" t="s">
        <v>104</v>
      </c>
      <c r="D34" s="274">
        <v>825</v>
      </c>
      <c r="E34" s="247"/>
      <c r="F34" s="230" t="s">
        <v>105</v>
      </c>
      <c r="G34" s="263">
        <v>6940</v>
      </c>
      <c r="H34" s="282"/>
    </row>
    <row r="35" spans="2:8" ht="19.899999999999999" customHeight="1">
      <c r="B35" s="251"/>
      <c r="C35" s="219" t="s">
        <v>106</v>
      </c>
      <c r="D35" s="274">
        <v>4314</v>
      </c>
      <c r="E35" s="247"/>
      <c r="F35" s="230" t="s">
        <v>162</v>
      </c>
      <c r="G35" s="263">
        <v>6000</v>
      </c>
      <c r="H35" s="282"/>
    </row>
    <row r="36" spans="2:8" ht="19.899999999999999" customHeight="1">
      <c r="B36" s="251"/>
      <c r="C36" s="219" t="s">
        <v>108</v>
      </c>
      <c r="D36" s="274">
        <v>434</v>
      </c>
      <c r="E36" s="247"/>
      <c r="F36" s="230" t="s">
        <v>109</v>
      </c>
      <c r="G36" s="263">
        <f>3042*3</f>
        <v>9126</v>
      </c>
      <c r="H36" s="282"/>
    </row>
    <row r="37" spans="2:8" ht="19.899999999999999" customHeight="1" thickBot="1">
      <c r="B37" s="252"/>
      <c r="C37" s="221"/>
      <c r="D37" s="275"/>
      <c r="E37" s="248"/>
      <c r="F37" s="232" t="s">
        <v>110</v>
      </c>
      <c r="G37" s="264">
        <v>7000</v>
      </c>
      <c r="H37" s="283"/>
    </row>
    <row r="38" spans="2:8" ht="19.899999999999999" customHeight="1">
      <c r="B38" s="164">
        <v>65</v>
      </c>
      <c r="C38" s="233" t="s">
        <v>111</v>
      </c>
      <c r="D38" s="276"/>
      <c r="E38" s="250">
        <v>75</v>
      </c>
      <c r="F38" s="233" t="s">
        <v>112</v>
      </c>
      <c r="G38" s="265">
        <f>SUM(G39:G40)</f>
        <v>2800</v>
      </c>
      <c r="H38" s="281">
        <f>G38/G44</f>
        <v>1.1383826022613158E-2</v>
      </c>
    </row>
    <row r="39" spans="2:8" ht="19.899999999999999" customHeight="1">
      <c r="B39" s="251"/>
      <c r="C39" s="219"/>
      <c r="D39" s="258"/>
      <c r="E39" s="247"/>
      <c r="F39" s="219" t="s">
        <v>113</v>
      </c>
      <c r="G39" s="258">
        <v>300</v>
      </c>
      <c r="H39" s="282"/>
    </row>
    <row r="40" spans="2:8" ht="19.899999999999999" customHeight="1">
      <c r="B40" s="251">
        <v>66</v>
      </c>
      <c r="C40" s="224" t="s">
        <v>114</v>
      </c>
      <c r="D40" s="270">
        <f>SUM(D41)</f>
        <v>5000</v>
      </c>
      <c r="E40" s="247"/>
      <c r="F40" s="219" t="s">
        <v>115</v>
      </c>
      <c r="G40" s="258">
        <v>2500</v>
      </c>
      <c r="H40" s="282"/>
    </row>
    <row r="41" spans="2:8" ht="19.899999999999999" customHeight="1">
      <c r="B41" s="251"/>
      <c r="C41" s="219" t="s">
        <v>116</v>
      </c>
      <c r="D41" s="267">
        <v>5000</v>
      </c>
      <c r="E41" s="290"/>
      <c r="F41" s="286"/>
      <c r="G41" s="287"/>
      <c r="H41" s="282"/>
    </row>
    <row r="42" spans="2:8" ht="19.899999999999999" customHeight="1">
      <c r="B42" s="251"/>
      <c r="C42" s="219" t="s">
        <v>117</v>
      </c>
      <c r="D42" s="267"/>
      <c r="E42" s="247"/>
      <c r="F42" s="286"/>
      <c r="G42" s="287"/>
      <c r="H42" s="282"/>
    </row>
    <row r="43" spans="2:8" ht="19.899999999999999" customHeight="1" thickBot="1">
      <c r="B43" s="291"/>
      <c r="C43" s="292"/>
      <c r="D43" s="293"/>
      <c r="E43" s="294"/>
      <c r="F43" s="295"/>
      <c r="G43" s="296"/>
      <c r="H43" s="283"/>
    </row>
    <row r="44" spans="2:8" ht="19.899999999999999" customHeight="1" thickBot="1">
      <c r="B44" s="256"/>
      <c r="C44" s="245" t="s">
        <v>118</v>
      </c>
      <c r="D44" s="277">
        <f>D5+D10+D17+D27+D28+D38+D40</f>
        <v>245963</v>
      </c>
      <c r="E44" s="297"/>
      <c r="F44" s="245" t="s">
        <v>119</v>
      </c>
      <c r="G44" s="266">
        <f>G5+G28+G38</f>
        <v>245963</v>
      </c>
      <c r="H44" s="298"/>
    </row>
    <row r="45" spans="2:8" ht="15.75" thickTop="1">
      <c r="B45" s="299"/>
      <c r="C45" s="165"/>
      <c r="D45" s="300"/>
      <c r="G45" s="301"/>
    </row>
    <row r="46" spans="2:8">
      <c r="B46" s="302"/>
      <c r="C46" s="303"/>
      <c r="D46" s="304"/>
      <c r="E46" s="305"/>
      <c r="F46" s="306"/>
      <c r="G46" s="304"/>
      <c r="H46" s="302"/>
    </row>
    <row r="47" spans="2:8">
      <c r="E47" s="307"/>
      <c r="F47" s="308"/>
    </row>
  </sheetData>
  <mergeCells count="3">
    <mergeCell ref="B3:D3"/>
    <mergeCell ref="E3:H3"/>
    <mergeCell ref="B1:H2"/>
  </mergeCells>
  <pageMargins left="3.937007874015748E-2" right="3.937007874015748E-2" top="3.937007874015748E-2" bottom="3.937007874015748E-2" header="0" footer="0"/>
  <pageSetup paperSize="9" scale="80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Présentation du classeur</vt:lpstr>
      <vt:lpstr>Registre du Personnel</vt:lpstr>
      <vt:lpstr>BaseDeDonnéesSalariés</vt:lpstr>
      <vt:lpstr>Tableau des salaires</vt:lpstr>
      <vt:lpstr>BaseDeDonnéesClients</vt:lpstr>
      <vt:lpstr>RelevéHeuresChantiersParMois</vt:lpstr>
      <vt:lpstr>RécapitulatifHeuresParMois</vt:lpstr>
      <vt:lpstr>BP 2011</vt:lpstr>
      <vt:lpstr>BP 2012</vt:lpstr>
      <vt:lpstr>BP 2013</vt:lpstr>
      <vt:lpstr>Résultat Comptable  2010</vt:lpstr>
      <vt:lpstr>Bilan Prévisionnel 2010</vt:lpstr>
      <vt:lpstr>Prévisionnel de Trésorerie</vt:lpstr>
      <vt:lpstr>RatiosDeProduction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</dc:creator>
  <cp:lastModifiedBy>Patrice Chauveau</cp:lastModifiedBy>
  <cp:lastPrinted>2012-01-04T20:11:54Z</cp:lastPrinted>
  <dcterms:created xsi:type="dcterms:W3CDTF">2011-11-19T17:34:23Z</dcterms:created>
  <dcterms:modified xsi:type="dcterms:W3CDTF">2012-01-04T20:50:19Z</dcterms:modified>
</cp:coreProperties>
</file>