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5075" windowHeight="5160"/>
  </bookViews>
  <sheets>
    <sheet name="Name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B19" i="2" l="1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C19" i="2"/>
  <c r="E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9" i="2"/>
  <c r="D19" i="2" l="1"/>
  <c r="G19" i="2"/>
  <c r="L19" i="2"/>
  <c r="E28" i="2"/>
  <c r="E26" i="2"/>
  <c r="E24" i="2"/>
  <c r="E22" i="2"/>
  <c r="E20" i="2"/>
  <c r="E27" i="2"/>
  <c r="E25" i="2"/>
  <c r="E23" i="2"/>
  <c r="E21" i="2"/>
  <c r="E9" i="2"/>
  <c r="G26" i="2" l="1"/>
  <c r="L26" i="2"/>
  <c r="G23" i="2"/>
  <c r="L23" i="2"/>
  <c r="G27" i="2"/>
  <c r="L27" i="2"/>
  <c r="G22" i="2"/>
  <c r="L22" i="2"/>
  <c r="G21" i="2"/>
  <c r="L21" i="2"/>
  <c r="G25" i="2"/>
  <c r="L25" i="2"/>
  <c r="G20" i="2"/>
  <c r="L20" i="2"/>
  <c r="G24" i="2"/>
  <c r="L24" i="2"/>
  <c r="G28" i="2"/>
  <c r="L28" i="2"/>
  <c r="B9" i="2"/>
  <c r="F9" i="2" s="1"/>
  <c r="D9" i="2" l="1"/>
  <c r="B10" i="2"/>
  <c r="E7" i="2"/>
  <c r="B11" i="2" l="1"/>
  <c r="E5" i="3"/>
  <c r="G5" i="3"/>
  <c r="I2" i="2"/>
  <c r="K2" i="2" s="1"/>
  <c r="B12" i="2" l="1"/>
  <c r="I9" i="2"/>
  <c r="A2" i="3"/>
  <c r="A1" i="3"/>
  <c r="B13" i="2" l="1"/>
  <c r="N13" i="2" l="1"/>
  <c r="B14" i="2"/>
  <c r="H9" i="2"/>
  <c r="J9" i="2" s="1"/>
  <c r="L9" i="2" s="1"/>
  <c r="B15" i="2" l="1"/>
  <c r="I10" i="2"/>
  <c r="H10" i="2"/>
  <c r="H11" i="2"/>
  <c r="B16" i="2" l="1"/>
  <c r="I12" i="2"/>
  <c r="I11" i="2"/>
  <c r="B17" i="2" l="1"/>
  <c r="H12" i="2"/>
  <c r="B18" i="2" l="1"/>
  <c r="J10" i="2"/>
  <c r="B20" i="2" l="1"/>
  <c r="F20" i="2" s="1"/>
  <c r="J11" i="2"/>
  <c r="H13" i="2"/>
  <c r="J13" i="2" s="1"/>
  <c r="I13" i="2"/>
  <c r="B21" i="2" l="1"/>
  <c r="F21" i="2" s="1"/>
  <c r="B22" i="2" l="1"/>
  <c r="F22" i="2" s="1"/>
  <c r="J12" i="2"/>
  <c r="I14" i="2"/>
  <c r="H14" i="2"/>
  <c r="J14" i="2" s="1"/>
  <c r="B23" i="2" l="1"/>
  <c r="F23" i="2" s="1"/>
  <c r="B24" i="2" l="1"/>
  <c r="F24" i="2" s="1"/>
  <c r="I15" i="2"/>
  <c r="H15" i="2"/>
  <c r="J15" i="2" s="1"/>
  <c r="B25" i="2" l="1"/>
  <c r="F25" i="2" s="1"/>
  <c r="B26" i="2" l="1"/>
  <c r="F26" i="2" s="1"/>
  <c r="I16" i="2"/>
  <c r="H16" i="2"/>
  <c r="J16" i="2" s="1"/>
  <c r="B27" i="2" l="1"/>
  <c r="F27" i="2" s="1"/>
  <c r="B28" i="2" l="1"/>
  <c r="F28" i="2" s="1"/>
  <c r="H17" i="2"/>
  <c r="J17" i="2" s="1"/>
  <c r="I17" i="2"/>
  <c r="H18" i="2" l="1"/>
  <c r="I18" i="2"/>
  <c r="J18" i="2" l="1"/>
  <c r="O12" i="2"/>
  <c r="O10" i="2"/>
  <c r="G9" i="2"/>
  <c r="C10" i="2" s="1"/>
  <c r="E10" i="2" l="1"/>
  <c r="F10" i="2" l="1"/>
  <c r="D10" i="2" s="1"/>
  <c r="L10" i="2" l="1"/>
  <c r="G10" i="2" l="1"/>
  <c r="C11" i="2" s="1"/>
  <c r="E11" i="2" s="1"/>
  <c r="F11" i="2" l="1"/>
  <c r="D11" i="2" s="1"/>
  <c r="L11" i="2" l="1"/>
  <c r="G11" i="2" l="1"/>
  <c r="C12" i="2" s="1"/>
  <c r="E12" i="2" s="1"/>
  <c r="F12" i="2" s="1"/>
  <c r="D12" i="2" s="1"/>
  <c r="L12" i="2" l="1"/>
  <c r="G12" i="2" s="1"/>
  <c r="C13" i="2" l="1"/>
  <c r="E13" i="2" s="1"/>
  <c r="F13" i="2" l="1"/>
  <c r="D13" i="2" s="1"/>
  <c r="L13" i="2" l="1"/>
  <c r="G13" i="2" l="1"/>
  <c r="C14" i="2" s="1"/>
  <c r="E14" i="2" s="1"/>
  <c r="F14" i="2" l="1"/>
  <c r="D14" i="2" s="1"/>
  <c r="L14" i="2" l="1"/>
  <c r="G14" i="2" l="1"/>
  <c r="C15" i="2" s="1"/>
  <c r="E15" i="2" s="1"/>
  <c r="F15" i="2" l="1"/>
  <c r="D15" i="2" s="1"/>
  <c r="L15" i="2" l="1"/>
  <c r="G15" i="2" l="1"/>
  <c r="C16" i="2" s="1"/>
  <c r="E16" i="2" s="1"/>
  <c r="F16" i="2" l="1"/>
  <c r="D16" i="2" s="1"/>
  <c r="L16" i="2" l="1"/>
  <c r="G16" i="2" l="1"/>
  <c r="C17" i="2" s="1"/>
  <c r="E17" i="2" s="1"/>
  <c r="F17" i="2" s="1"/>
  <c r="D17" i="2" s="1"/>
  <c r="L17" i="2" l="1"/>
  <c r="G17" i="2" s="1"/>
  <c r="C18" i="2" l="1"/>
  <c r="E18" i="2" s="1"/>
  <c r="M2" i="2" l="1"/>
  <c r="F18" i="2"/>
  <c r="D18" i="2" s="1"/>
  <c r="L18" i="2" l="1"/>
  <c r="G18" i="2" s="1"/>
  <c r="F19" i="2"/>
</calcChain>
</file>

<file path=xl/sharedStrings.xml><?xml version="1.0" encoding="utf-8"?>
<sst xmlns="http://schemas.openxmlformats.org/spreadsheetml/2006/main" count="40" uniqueCount="37">
  <si>
    <t>Name of the Member</t>
  </si>
  <si>
    <t>Month</t>
  </si>
  <si>
    <t>Year</t>
  </si>
  <si>
    <t>Phone No</t>
  </si>
  <si>
    <t>Date</t>
  </si>
  <si>
    <t>Loan Amount</t>
  </si>
  <si>
    <t xml:space="preserve">Principal  </t>
  </si>
  <si>
    <t>EMI</t>
  </si>
  <si>
    <t>Penality</t>
  </si>
  <si>
    <t>Day Plty</t>
  </si>
  <si>
    <t>Payment Date</t>
  </si>
  <si>
    <t xml:space="preserve">Total Amount </t>
  </si>
  <si>
    <t>Type of Loan</t>
  </si>
  <si>
    <t>Education</t>
  </si>
  <si>
    <t>Penality Rs</t>
  </si>
  <si>
    <t>Day</t>
  </si>
  <si>
    <t>Year Interest</t>
  </si>
  <si>
    <t>Installment Interest</t>
  </si>
  <si>
    <t>Period Interest</t>
  </si>
  <si>
    <t>Real Interest</t>
  </si>
  <si>
    <t>Installments</t>
  </si>
  <si>
    <t>Payment</t>
  </si>
  <si>
    <t>Interest before recovering</t>
  </si>
  <si>
    <t>Emergency</t>
  </si>
  <si>
    <t>Personal</t>
  </si>
  <si>
    <t>Safe Hands Multi-Purpose Co-operative Society Ltd, Hubli</t>
  </si>
  <si>
    <t xml:space="preserve">Months </t>
  </si>
  <si>
    <t xml:space="preserve">Vihicle </t>
  </si>
  <si>
    <t>Balance after payment</t>
  </si>
  <si>
    <t>Interest</t>
  </si>
  <si>
    <t>Time before paying</t>
  </si>
  <si>
    <t xml:space="preserve"> </t>
  </si>
  <si>
    <t>Number of days</t>
  </si>
  <si>
    <t>R Penalty per day</t>
  </si>
  <si>
    <t>yes</t>
  </si>
  <si>
    <t>Exemple</t>
  </si>
  <si>
    <r>
      <t>[C × t/12]÷[1−(1 + t/12)</t>
    </r>
    <r>
      <rPr>
        <vertAlign val="superscript"/>
        <sz val="11"/>
        <color rgb="FF999999"/>
        <rFont val="Tahoma"/>
        <family val="2"/>
      </rPr>
      <t>−n</t>
    </r>
    <r>
      <rPr>
        <sz val="11"/>
        <color rgb="FF999999"/>
        <rFont val="Tahoma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</si>
</sst>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Rs.-4009]\ * #,##0_ ;_ [$Rs.-4009]\ * \-#,##0_ ;_ [$Rs.-4009]\ * &quot;-&quot;_ ;_ @_ "/>
    <numFmt numFmtId="165" formatCode="0.0%"/>
    <numFmt numFmtId="166" formatCode="0.000"/>
    <numFmt numFmtId="167" formatCode="0.00000000"/>
    <numFmt numFmtId="168" formatCode="0.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999999"/>
      <name val="Tahoma"/>
      <family val="2"/>
    </font>
    <font>
      <vertAlign val="superscript"/>
      <sz val="11"/>
      <color rgb="FF99999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4" fontId="0" fillId="2" borderId="10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19" xfId="0" applyFont="1" applyBorder="1" applyAlignment="1" applyProtection="1">
      <alignment horizontal="center" vertical="center" wrapText="1"/>
    </xf>
    <xf numFmtId="0" fontId="0" fillId="0" borderId="22" xfId="0" quotePrefix="1" applyBorder="1" applyAlignment="1" applyProtection="1">
      <alignment horizontal="center" wrapText="1"/>
    </xf>
    <xf numFmtId="0" fontId="0" fillId="0" borderId="24" xfId="0" quotePrefix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14" fontId="0" fillId="0" borderId="10" xfId="0" applyNumberFormat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1" fontId="0" fillId="0" borderId="10" xfId="0" applyNumberFormat="1" applyBorder="1" applyProtection="1"/>
    <xf numFmtId="1" fontId="0" fillId="0" borderId="10" xfId="0" applyNumberForma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1" fontId="0" fillId="0" borderId="23" xfId="0" applyNumberFormat="1" applyBorder="1" applyProtection="1"/>
    <xf numFmtId="0" fontId="2" fillId="0" borderId="27" xfId="0" applyFont="1" applyBorder="1" applyAlignment="1" applyProtection="1">
      <alignment horizontal="center" vertical="center" wrapText="1"/>
    </xf>
    <xf numFmtId="165" fontId="2" fillId="0" borderId="15" xfId="0" applyNumberFormat="1" applyFont="1" applyFill="1" applyBorder="1" applyAlignment="1" applyProtection="1">
      <alignment horizontal="center" vertical="center" wrapText="1"/>
    </xf>
    <xf numFmtId="10" fontId="2" fillId="3" borderId="9" xfId="1" applyNumberFormat="1" applyFont="1" applyFill="1" applyBorder="1" applyAlignment="1" applyProtection="1">
      <alignment horizontal="center" vertical="center"/>
    </xf>
    <xf numFmtId="9" fontId="2" fillId="0" borderId="7" xfId="0" applyNumberFormat="1" applyFont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/>
    </xf>
    <xf numFmtId="10" fontId="2" fillId="3" borderId="16" xfId="1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9" fontId="0" fillId="0" borderId="8" xfId="0" applyNumberFormat="1" applyBorder="1" applyAlignment="1" applyProtection="1">
      <alignment horizontal="center" vertical="center"/>
    </xf>
    <xf numFmtId="9" fontId="0" fillId="0" borderId="9" xfId="0" applyNumberForma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" fontId="0" fillId="0" borderId="0" xfId="0" applyNumberFormat="1"/>
    <xf numFmtId="0" fontId="2" fillId="4" borderId="12" xfId="0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0" fontId="2" fillId="4" borderId="30" xfId="0" applyFont="1" applyFill="1" applyBorder="1" applyAlignment="1" applyProtection="1">
      <protection locked="0"/>
    </xf>
    <xf numFmtId="0" fontId="2" fillId="4" borderId="29" xfId="0" applyFont="1" applyFill="1" applyBorder="1" applyAlignment="1" applyProtection="1">
      <protection locked="0"/>
    </xf>
    <xf numFmtId="1" fontId="0" fillId="2" borderId="28" xfId="0" applyNumberFormat="1" applyFill="1" applyBorder="1" applyProtection="1">
      <protection locked="0"/>
    </xf>
    <xf numFmtId="166" fontId="0" fillId="0" borderId="0" xfId="0" applyNumberFormat="1"/>
    <xf numFmtId="1" fontId="0" fillId="0" borderId="10" xfId="0" applyNumberFormat="1" applyFill="1" applyBorder="1" applyProtection="1"/>
    <xf numFmtId="0" fontId="6" fillId="0" borderId="2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4" fontId="0" fillId="2" borderId="10" xfId="0" applyNumberFormat="1" applyFill="1" applyBorder="1" applyProtection="1"/>
    <xf numFmtId="9" fontId="2" fillId="2" borderId="4" xfId="1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vertical="center"/>
    </xf>
    <xf numFmtId="1" fontId="0" fillId="2" borderId="25" xfId="0" applyNumberFormat="1" applyFill="1" applyBorder="1" applyAlignment="1" applyProtection="1"/>
    <xf numFmtId="1" fontId="0" fillId="2" borderId="26" xfId="0" applyNumberFormat="1" applyFill="1" applyBorder="1" applyAlignment="1" applyProtection="1"/>
    <xf numFmtId="1" fontId="0" fillId="0" borderId="0" xfId="0" applyNumberFormat="1" applyFill="1" applyBorder="1" applyProtection="1"/>
    <xf numFmtId="14" fontId="0" fillId="0" borderId="31" xfId="0" applyNumberFormat="1" applyBorder="1" applyAlignment="1" applyProtection="1">
      <alignment horizontal="center" vertical="center"/>
    </xf>
    <xf numFmtId="9" fontId="0" fillId="0" borderId="32" xfId="0" applyNumberFormat="1" applyBorder="1" applyAlignment="1" applyProtection="1">
      <alignment horizontal="center" vertical="center"/>
    </xf>
    <xf numFmtId="9" fontId="0" fillId="0" borderId="33" xfId="0" applyNumberForma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left"/>
    </xf>
    <xf numFmtId="0" fontId="0" fillId="7" borderId="0" xfId="0" applyFill="1"/>
    <xf numFmtId="2" fontId="0" fillId="0" borderId="0" xfId="0" applyNumberFormat="1"/>
    <xf numFmtId="0" fontId="7" fillId="0" borderId="0" xfId="0" applyFont="1"/>
    <xf numFmtId="167" fontId="0" fillId="0" borderId="0" xfId="0" applyNumberFormat="1"/>
    <xf numFmtId="168" fontId="0" fillId="0" borderId="0" xfId="0" applyNumberFormat="1"/>
    <xf numFmtId="0" fontId="5" fillId="0" borderId="14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3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0" zoomScaleNormal="80" workbookViewId="0">
      <selection activeCell="B3" sqref="B3:E3"/>
    </sheetView>
  </sheetViews>
  <sheetFormatPr defaultColWidth="11.42578125" defaultRowHeight="15" x14ac:dyDescent="0.25"/>
  <cols>
    <col min="1" max="1" width="14.140625" customWidth="1"/>
    <col min="2" max="2" width="12.7109375" bestFit="1" customWidth="1"/>
    <col min="4" max="4" width="15.85546875" customWidth="1"/>
    <col min="5" max="5" width="13" bestFit="1" customWidth="1"/>
    <col min="6" max="6" width="13.42578125" customWidth="1"/>
    <col min="7" max="7" width="22" bestFit="1" customWidth="1"/>
    <col min="8" max="8" width="12.140625" customWidth="1"/>
    <col min="9" max="9" width="8.85546875" bestFit="1" customWidth="1"/>
    <col min="11" max="11" width="11.5703125" bestFit="1" customWidth="1"/>
    <col min="12" max="12" width="12.5703125" customWidth="1"/>
    <col min="13" max="13" width="11.5703125" bestFit="1" customWidth="1"/>
    <col min="14" max="14" width="21.140625" customWidth="1"/>
    <col min="15" max="15" width="17.85546875" customWidth="1"/>
  </cols>
  <sheetData>
    <row r="1" spans="1:15" ht="21.75" thickBot="1" x14ac:dyDescent="0.3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5" ht="30.75" thickBot="1" x14ac:dyDescent="0.3">
      <c r="A2" s="3" t="s">
        <v>0</v>
      </c>
      <c r="B2" s="78" t="s">
        <v>35</v>
      </c>
      <c r="C2" s="79"/>
      <c r="D2" s="79"/>
      <c r="E2" s="80"/>
      <c r="F2" s="58" t="s">
        <v>16</v>
      </c>
      <c r="G2" s="41">
        <v>0.13</v>
      </c>
      <c r="H2" s="19" t="s">
        <v>18</v>
      </c>
      <c r="I2" s="20">
        <f>IF(G4&lt;&gt;"",(1+G2)^(G4/365)-1,(1+G2)^(G6/12)-1)</f>
        <v>0.10721519242606425</v>
      </c>
      <c r="J2" s="21" t="s">
        <v>17</v>
      </c>
      <c r="K2" s="20">
        <f>(1+I2)^(1/G7)-1</f>
        <v>1.02368443581764E-2</v>
      </c>
      <c r="L2" s="22" t="s">
        <v>19</v>
      </c>
      <c r="M2" s="23">
        <f>(SUM(E9:E28)+E7)/B7</f>
        <v>0.11591103845537504</v>
      </c>
    </row>
    <row r="3" spans="1:15" ht="15.75" thickBot="1" x14ac:dyDescent="0.3">
      <c r="A3" s="3" t="s">
        <v>3</v>
      </c>
      <c r="B3" s="81">
        <v>1234567890</v>
      </c>
      <c r="C3" s="82"/>
      <c r="D3" s="82"/>
      <c r="E3" s="83"/>
      <c r="F3" s="50"/>
      <c r="G3" s="50"/>
      <c r="H3" s="77" t="s">
        <v>31</v>
      </c>
      <c r="I3" s="77"/>
      <c r="J3" s="77"/>
      <c r="K3" s="77"/>
      <c r="L3" s="77"/>
      <c r="M3" s="30"/>
      <c r="O3" s="29"/>
    </row>
    <row r="4" spans="1:15" ht="15.75" thickBot="1" x14ac:dyDescent="0.3">
      <c r="A4" s="4"/>
      <c r="B4" s="57" t="s">
        <v>13</v>
      </c>
      <c r="C4" s="28" t="s">
        <v>23</v>
      </c>
      <c r="D4" s="28" t="s">
        <v>24</v>
      </c>
      <c r="E4" s="38" t="s">
        <v>27</v>
      </c>
      <c r="F4" s="51"/>
      <c r="G4" s="52"/>
      <c r="H4" s="50"/>
      <c r="I4" s="25" t="s">
        <v>15</v>
      </c>
      <c r="J4" s="26" t="s">
        <v>1</v>
      </c>
      <c r="K4" s="27" t="s">
        <v>2</v>
      </c>
      <c r="L4" s="31"/>
      <c r="M4" s="32"/>
    </row>
    <row r="5" spans="1:15" ht="15.75" thickBot="1" x14ac:dyDescent="0.3">
      <c r="A5" s="3" t="s">
        <v>12</v>
      </c>
      <c r="B5" s="61" t="s">
        <v>34</v>
      </c>
      <c r="C5" s="61"/>
      <c r="D5" s="61"/>
      <c r="E5" s="62"/>
      <c r="F5" s="51"/>
      <c r="G5" s="52"/>
      <c r="H5" s="50"/>
      <c r="I5" s="47"/>
      <c r="J5" s="48"/>
      <c r="K5" s="49"/>
      <c r="L5" s="31"/>
      <c r="M5" s="32"/>
    </row>
    <row r="6" spans="1:15" ht="30.75" thickBot="1" x14ac:dyDescent="0.3">
      <c r="A6" s="5" t="s">
        <v>30</v>
      </c>
      <c r="B6" s="63">
        <v>5</v>
      </c>
      <c r="C6" s="55"/>
      <c r="D6" s="55"/>
      <c r="E6" s="60"/>
      <c r="F6" s="54" t="s">
        <v>26</v>
      </c>
      <c r="G6" s="53">
        <v>10</v>
      </c>
      <c r="H6" s="24" t="s">
        <v>4</v>
      </c>
      <c r="I6" s="43">
        <v>8</v>
      </c>
      <c r="J6" s="44">
        <v>11</v>
      </c>
      <c r="K6" s="45">
        <v>2011</v>
      </c>
      <c r="L6" s="31"/>
      <c r="M6" s="32"/>
      <c r="N6" s="66"/>
    </row>
    <row r="7" spans="1:15" ht="15.75" thickBot="1" x14ac:dyDescent="0.3">
      <c r="A7" s="6" t="s">
        <v>5</v>
      </c>
      <c r="B7" s="64">
        <v>12230</v>
      </c>
      <c r="C7" s="70" t="s">
        <v>22</v>
      </c>
      <c r="D7" s="71"/>
      <c r="E7" s="56">
        <f>IF(OR(B6="",B6=1),0,((G2+1)^((DATE(K6,J6+B6,I6)-DATE(K6,J6,I6))/365)-1)*B7)</f>
        <v>638.57200030923684</v>
      </c>
      <c r="F7" s="59" t="s">
        <v>20</v>
      </c>
      <c r="G7" s="42">
        <v>10</v>
      </c>
      <c r="H7" s="72"/>
      <c r="I7" s="73"/>
      <c r="J7" s="73"/>
      <c r="K7" s="73"/>
      <c r="L7" s="33"/>
      <c r="M7" s="34"/>
      <c r="N7" s="39"/>
    </row>
    <row r="8" spans="1:15" ht="30" x14ac:dyDescent="0.25">
      <c r="A8" s="7" t="s">
        <v>20</v>
      </c>
      <c r="B8" s="10" t="s">
        <v>4</v>
      </c>
      <c r="C8" s="11" t="s">
        <v>5</v>
      </c>
      <c r="D8" s="10" t="s">
        <v>6</v>
      </c>
      <c r="E8" s="10" t="s">
        <v>29</v>
      </c>
      <c r="F8" s="10" t="s">
        <v>7</v>
      </c>
      <c r="G8" s="10" t="s">
        <v>28</v>
      </c>
      <c r="H8" s="10" t="s">
        <v>8</v>
      </c>
      <c r="I8" s="10" t="s">
        <v>9</v>
      </c>
      <c r="J8" s="11" t="s">
        <v>14</v>
      </c>
      <c r="K8" s="11" t="s">
        <v>10</v>
      </c>
      <c r="L8" s="16" t="s">
        <v>11</v>
      </c>
      <c r="M8" s="18" t="s">
        <v>21</v>
      </c>
      <c r="N8" s="39"/>
      <c r="O8" s="37"/>
    </row>
    <row r="9" spans="1:15" ht="16.5" x14ac:dyDescent="0.25">
      <c r="A9" s="8">
        <v>1</v>
      </c>
      <c r="B9" s="12">
        <f>IF(G6="",DATE(K6,J6,I6+G7),IF(B6&lt;&gt;"",IF(G7&gt;G6,DATE(K6,J6+B6,I6),DATE(K6,J6+B6,I6)),IF(D6="Yes",IF(K9&gt;=(IF(G6&lt;G7,DATE(K6,J6,I6+(DATE(K6,J6+1,I6)-DATE(K6,J6,I6))*(G6/G7)),DATE(K6,J6+(G6/G7),I6))),IF(G6&lt;G7,DATE(K6,J6,I6+(DATE(K6,J6+1,I6)-DATE(K6,J6,I6))*(G6/G7)),DATE(K6,J6+(G6/G7),I6)),IF(K9="",IF(G6&lt;G7,DATE(K6,J6,I6+(DATE(K6,J6+1,I6)-DATE(K6,J6,I6))*(G6/G7)),DATE(K6,J6+(G6/G7),I6)),K9)),IF(G6&lt;G7,DATE(K6,J6,I6+(DATE(K6,J6+1,I6)-DATE(K6,J6,I6))*(G6/G7)),DATE(K6,J6+(G6/G7),I6)))))</f>
        <v>41007</v>
      </c>
      <c r="C9" s="13">
        <f>IF(A9&gt;$G$7,"",$B$7+$E$7)</f>
        <v>12868.572000309237</v>
      </c>
      <c r="D9" s="14">
        <f>IF(C9="","",F9-E9)</f>
        <v>1225.5899999999999</v>
      </c>
      <c r="E9" s="37">
        <f>IF(C9="","",IF($G$6=$G$7,ROUND(C9*($G$2/12),2),ROUND(C9*($G$2/24),2)))</f>
        <v>139.41</v>
      </c>
      <c r="F9" s="14">
        <f t="shared" ref="F9:F16" si="0">IF(B9="","",IF(C9+E9&lt;(IF($G$6=$G$7,ROUNDUP(($C$9*$G$2/12)/(1-(1+$G$2/12)^-$G$6),0),ROUNDUP(($C$9*$G$2/24)/(1-(1+$G$2/24)^-$G$7),0))),C9+E9,IF($G$6=$G$7,ROUNDUP(($C$9*$G$2/12)/(1-(1+$G$2/12)^-$G$6),0),ROUNDUP(($C$9*$G$2/24)/(1-(1+$G$2/24)^-$G$7),0))))</f>
        <v>1365</v>
      </c>
      <c r="G9" s="14">
        <f>IF(E9="","",IF(M9&lt;&gt;"",C9-D9-ROUNDDOWN((M9-L9),0),C9-D9))</f>
        <v>11642.982000309237</v>
      </c>
      <c r="H9" s="15" t="str">
        <f t="shared" ref="H9:H28" si="1">IF(A9&gt;$G$7,"",IF(K9&gt;B9,"Yes","No"))</f>
        <v>No</v>
      </c>
      <c r="I9" s="14">
        <f>IF(A9&gt;$G$7,"",IF(K9&gt;B9,K9-B9,0))</f>
        <v>0</v>
      </c>
      <c r="J9" s="14">
        <f>IF(A9&gt;$G$7,"",IF(H9="YES",IF((SUM(C9,E9)*$G$2*15/365/15*I9)&gt;=(10*I9),(10*I9),IF((SUM(C9,E9)*$G$2*15/365/15*I9)&lt;=(3*I9),(3*I9),(SUM(C9,E9)*$G$2*15/365/15*I9))),0))</f>
        <v>0</v>
      </c>
      <c r="K9" s="1"/>
      <c r="L9" s="17">
        <f>IF(E9="","",IF(L8=0,0,ROUNDUP((F9+J9),0)))</f>
        <v>1365</v>
      </c>
      <c r="M9" s="35"/>
      <c r="N9" s="67" t="s">
        <v>36</v>
      </c>
    </row>
    <row r="10" spans="1:15" x14ac:dyDescent="0.25">
      <c r="A10" s="8">
        <v>2</v>
      </c>
      <c r="B10" s="12">
        <f>IF($G$7&lt;A10,"",IF($G$7&gt;$G$6,B9+14,EDATE(B9,1)))</f>
        <v>41037</v>
      </c>
      <c r="C10" s="13">
        <f>IF(A10&gt;$G$7,"",IF(M9&gt;=L9,C9-D9-(M9-L9),G9))</f>
        <v>11642.982000309237</v>
      </c>
      <c r="D10" s="14">
        <f t="shared" ref="D10:D28" si="2">IF(C10="","",F10-E10)</f>
        <v>1238.8699999999999</v>
      </c>
      <c r="E10" s="37">
        <f t="shared" ref="E10:E18" si="3">IF(C10="","",IF($G$6=$G$7,ROUND(C10*($G$2/12),2),ROUND(C10*($G$2/24),2)))</f>
        <v>126.13</v>
      </c>
      <c r="F10" s="14">
        <f t="shared" si="0"/>
        <v>1365</v>
      </c>
      <c r="G10" s="14">
        <f>IF(E10="","",IF(M10&lt;&gt;"",C10-D10-ROUNDDOWN((M10-L10),0),C10-D10))</f>
        <v>10404.112000309236</v>
      </c>
      <c r="H10" s="15" t="str">
        <f t="shared" si="1"/>
        <v>No</v>
      </c>
      <c r="I10" s="14">
        <f t="shared" ref="I10:I17" si="4">IF(A10&gt;$G$7,"",IF(K10&gt;B10,K10-B10,0))</f>
        <v>0</v>
      </c>
      <c r="J10" s="14">
        <f t="shared" ref="J10:J28" si="5">IF(A10&gt;$G$7,"",IF(H10="YES",IF((SUM(C10,E10)*$G$2*15/365/15*I10)&gt;=(10*I10),(10*I10),IF((SUM(C10,E10)*$G$2*15/365/15*I10)&lt;=(3*I10),(3*I10),(SUM(C10,E10)*$G$2*15/365/15*I10))),0))</f>
        <v>0</v>
      </c>
      <c r="K10" s="1"/>
      <c r="L10" s="17">
        <f>IF(E10="","",IF(L9=0,0,ROUNDUP((F10+J10),0)))</f>
        <v>1365</v>
      </c>
      <c r="M10" s="35"/>
      <c r="O10" s="68">
        <f>M9-L9</f>
        <v>-1365</v>
      </c>
    </row>
    <row r="11" spans="1:15" x14ac:dyDescent="0.25">
      <c r="A11" s="8">
        <v>3</v>
      </c>
      <c r="B11" s="12">
        <f t="shared" ref="B11:B28" si="6">IF($G$7&lt;A11,"",IF($G$7&gt;$G$6,B10+14,EDATE(B10,1)))</f>
        <v>41068</v>
      </c>
      <c r="C11" s="13">
        <f t="shared" ref="C11:C28" si="7">IF(A11&gt;$G$7,"",IF(M10&gt;L10,C10-D10-(M10-L10),G10))</f>
        <v>10404.112000309236</v>
      </c>
      <c r="D11" s="14">
        <f t="shared" si="2"/>
        <v>1252.29</v>
      </c>
      <c r="E11" s="37">
        <f t="shared" si="3"/>
        <v>112.71</v>
      </c>
      <c r="F11" s="14">
        <f t="shared" si="0"/>
        <v>1365</v>
      </c>
      <c r="G11" s="14">
        <f>IF(E11="","",IF(M11&lt;&gt;"",C11-D11-ROUNDDOWN((M11-L11),0),C11-D11))</f>
        <v>9151.8220003092356</v>
      </c>
      <c r="H11" s="15" t="str">
        <f t="shared" si="1"/>
        <v>No</v>
      </c>
      <c r="I11" s="14">
        <f t="shared" si="4"/>
        <v>0</v>
      </c>
      <c r="J11" s="14">
        <f t="shared" si="5"/>
        <v>0</v>
      </c>
      <c r="K11" s="1"/>
      <c r="L11" s="17">
        <f t="shared" ref="L10:L17" si="8">IF(E11="","",IF(L10=0,0,ROUNDUP((F11+J11),0)))</f>
        <v>1365</v>
      </c>
      <c r="M11" s="2"/>
      <c r="N11" s="36"/>
    </row>
    <row r="12" spans="1:15" x14ac:dyDescent="0.25">
      <c r="A12" s="8">
        <v>4</v>
      </c>
      <c r="B12" s="12">
        <f t="shared" si="6"/>
        <v>41098</v>
      </c>
      <c r="C12" s="13">
        <f t="shared" si="7"/>
        <v>9151.8220003092356</v>
      </c>
      <c r="D12" s="14">
        <f t="shared" si="2"/>
        <v>1265.8599999999999</v>
      </c>
      <c r="E12" s="37">
        <f t="shared" si="3"/>
        <v>99.14</v>
      </c>
      <c r="F12" s="14">
        <f t="shared" si="0"/>
        <v>1365</v>
      </c>
      <c r="G12" s="14">
        <f t="shared" ref="G12:G28" si="9">IF(E12="","",IF(M12&lt;&gt;"",C12-D12-ROUNDDOWN((M12-L12),0),C12-D12))</f>
        <v>7885.9620003092359</v>
      </c>
      <c r="H12" s="15" t="str">
        <f t="shared" si="1"/>
        <v>No</v>
      </c>
      <c r="I12" s="14">
        <f t="shared" si="4"/>
        <v>0</v>
      </c>
      <c r="J12" s="14">
        <f t="shared" si="5"/>
        <v>0</v>
      </c>
      <c r="K12" s="1"/>
      <c r="L12" s="17">
        <f t="shared" si="8"/>
        <v>1365</v>
      </c>
      <c r="M12" s="2"/>
      <c r="O12" s="69">
        <f>ROUNDDOWN(M9-L9,0)</f>
        <v>-1365</v>
      </c>
    </row>
    <row r="13" spans="1:15" x14ac:dyDescent="0.25">
      <c r="A13" s="8">
        <v>5</v>
      </c>
      <c r="B13" s="12">
        <f t="shared" si="6"/>
        <v>41129</v>
      </c>
      <c r="C13" s="13">
        <f t="shared" si="7"/>
        <v>7885.9620003092359</v>
      </c>
      <c r="D13" s="14">
        <f t="shared" si="2"/>
        <v>1279.57</v>
      </c>
      <c r="E13" s="37">
        <f t="shared" si="3"/>
        <v>85.43</v>
      </c>
      <c r="F13" s="14">
        <f t="shared" si="0"/>
        <v>1365</v>
      </c>
      <c r="G13" s="14">
        <f t="shared" si="9"/>
        <v>6606.3920003092362</v>
      </c>
      <c r="H13" s="15" t="str">
        <f t="shared" si="1"/>
        <v>No</v>
      </c>
      <c r="I13" s="14">
        <f t="shared" si="4"/>
        <v>0</v>
      </c>
      <c r="J13" s="14">
        <f t="shared" si="5"/>
        <v>0</v>
      </c>
      <c r="K13" s="1"/>
      <c r="L13" s="17">
        <f t="shared" si="8"/>
        <v>1365</v>
      </c>
      <c r="M13" s="2"/>
      <c r="N13">
        <f>(C9*(G2/12))/(1-(1+G2/12)^-G6)</f>
        <v>1364.7714714040237</v>
      </c>
    </row>
    <row r="14" spans="1:15" x14ac:dyDescent="0.25">
      <c r="A14" s="8">
        <v>6</v>
      </c>
      <c r="B14" s="12">
        <f t="shared" si="6"/>
        <v>41160</v>
      </c>
      <c r="C14" s="13">
        <f t="shared" si="7"/>
        <v>6606.3920003092362</v>
      </c>
      <c r="D14" s="14">
        <f t="shared" si="2"/>
        <v>1293.43</v>
      </c>
      <c r="E14" s="37">
        <f t="shared" si="3"/>
        <v>71.569999999999993</v>
      </c>
      <c r="F14" s="14">
        <f t="shared" si="0"/>
        <v>1365</v>
      </c>
      <c r="G14" s="14">
        <f t="shared" si="9"/>
        <v>5312.9620003092359</v>
      </c>
      <c r="H14" s="15" t="str">
        <f t="shared" si="1"/>
        <v>No</v>
      </c>
      <c r="I14" s="14">
        <f t="shared" si="4"/>
        <v>0</v>
      </c>
      <c r="J14" s="14">
        <f t="shared" si="5"/>
        <v>0</v>
      </c>
      <c r="K14" s="40"/>
      <c r="L14" s="17">
        <f t="shared" si="8"/>
        <v>1365</v>
      </c>
      <c r="M14" s="2"/>
    </row>
    <row r="15" spans="1:15" x14ac:dyDescent="0.25">
      <c r="A15" s="8">
        <v>7</v>
      </c>
      <c r="B15" s="12">
        <f t="shared" si="6"/>
        <v>41190</v>
      </c>
      <c r="C15" s="13">
        <f t="shared" si="7"/>
        <v>5312.9620003092359</v>
      </c>
      <c r="D15" s="14">
        <f t="shared" si="2"/>
        <v>1307.44</v>
      </c>
      <c r="E15" s="37">
        <f t="shared" si="3"/>
        <v>57.56</v>
      </c>
      <c r="F15" s="14">
        <f t="shared" si="0"/>
        <v>1365</v>
      </c>
      <c r="G15" s="14">
        <f t="shared" si="9"/>
        <v>4005.5220003092359</v>
      </c>
      <c r="H15" s="15" t="str">
        <f t="shared" si="1"/>
        <v>No</v>
      </c>
      <c r="I15" s="14">
        <f t="shared" si="4"/>
        <v>0</v>
      </c>
      <c r="J15" s="14">
        <f t="shared" si="5"/>
        <v>0</v>
      </c>
      <c r="K15" s="1"/>
      <c r="L15" s="17">
        <f t="shared" si="8"/>
        <v>1365</v>
      </c>
      <c r="M15" s="2"/>
    </row>
    <row r="16" spans="1:15" x14ac:dyDescent="0.25">
      <c r="A16" s="8">
        <v>8</v>
      </c>
      <c r="B16" s="12">
        <f t="shared" si="6"/>
        <v>41221</v>
      </c>
      <c r="C16" s="13">
        <f t="shared" si="7"/>
        <v>4005.5220003092359</v>
      </c>
      <c r="D16" s="14">
        <f>IF(C16="","",F16-E16)</f>
        <v>1321.61</v>
      </c>
      <c r="E16" s="37">
        <f t="shared" si="3"/>
        <v>43.39</v>
      </c>
      <c r="F16" s="14">
        <f t="shared" si="0"/>
        <v>1365</v>
      </c>
      <c r="G16" s="14">
        <f t="shared" si="9"/>
        <v>2683.9120003092357</v>
      </c>
      <c r="H16" s="15" t="str">
        <f t="shared" si="1"/>
        <v>No</v>
      </c>
      <c r="I16" s="14">
        <f t="shared" si="4"/>
        <v>0</v>
      </c>
      <c r="J16" s="14">
        <f t="shared" si="5"/>
        <v>0</v>
      </c>
      <c r="K16" s="1"/>
      <c r="L16" s="17">
        <f t="shared" si="8"/>
        <v>1365</v>
      </c>
      <c r="M16" s="2"/>
    </row>
    <row r="17" spans="1:13" x14ac:dyDescent="0.25">
      <c r="A17" s="8">
        <v>9</v>
      </c>
      <c r="B17" s="12">
        <f t="shared" si="6"/>
        <v>41251</v>
      </c>
      <c r="C17" s="13">
        <f t="shared" si="7"/>
        <v>2683.9120003092357</v>
      </c>
      <c r="D17" s="14">
        <f>IF(C17="","",F17-E17)</f>
        <v>1335.92</v>
      </c>
      <c r="E17" s="37">
        <f t="shared" si="3"/>
        <v>29.08</v>
      </c>
      <c r="F17" s="14">
        <f>IF(B17="","",IF(C17+E17&lt;(IF($G$6=$G$7,ROUNDUP(($C$9*$G$2/12)/(1-(1+$G$2/12)^-$G$6),0),ROUNDUP(($C$9*$G$2/24)/(1-(1+$G$2/24)^-$G$7),0))),C17+E17,IF($G$6=$G$7,ROUNDUP(($C$9*$G$2/12)/(1-(1+$G$2/12)^-$G$6),0),ROUNDUP(($C$9*$G$2/24)/(1-(1+$G$2/24)^-$G$7),0))))</f>
        <v>1365</v>
      </c>
      <c r="G17" s="14">
        <f t="shared" si="9"/>
        <v>1347.9920003092357</v>
      </c>
      <c r="H17" s="15" t="str">
        <f t="shared" si="1"/>
        <v>No</v>
      </c>
      <c r="I17" s="14">
        <f t="shared" si="4"/>
        <v>0</v>
      </c>
      <c r="J17" s="14">
        <f t="shared" si="5"/>
        <v>0</v>
      </c>
      <c r="K17" s="1"/>
      <c r="L17" s="17">
        <f t="shared" si="8"/>
        <v>1365</v>
      </c>
      <c r="M17" s="2"/>
    </row>
    <row r="18" spans="1:13" x14ac:dyDescent="0.25">
      <c r="A18" s="8">
        <v>10</v>
      </c>
      <c r="B18" s="12">
        <f t="shared" si="6"/>
        <v>41282</v>
      </c>
      <c r="C18" s="13">
        <f t="shared" si="7"/>
        <v>1347.9920003092357</v>
      </c>
      <c r="D18" s="14">
        <f>IF(C18="","",F18-E18)</f>
        <v>1347.9920003092357</v>
      </c>
      <c r="E18" s="37">
        <f t="shared" si="3"/>
        <v>14.6</v>
      </c>
      <c r="F18" s="14">
        <f>IF(B18="","",IF(C18+E18&lt;(IF($G$6=$G$7,ROUNDUP(($C$9*$G$2/12)/(1-(1+$G$2/12)^-$G$6),0),ROUNDUP(($C$9*$G$2/24)/(1-(1+$G$2/24)^-$G$7),0))),C18+E18,IF($G$6=$G$7,ROUNDUP(($C$9*$G$2/12)/(1-(1+$G$2/12)^-$G$6),0),ROUNDUP(($C$9*$G$2/24)/(1-(1+$G$2/24)^-$G$7),0))))</f>
        <v>1362.5920003092356</v>
      </c>
      <c r="G18" s="14">
        <f>IF(E18="","",IF(M18&lt;&gt;"",C18-D18-ROUNDDOWN((M18-L18),0),C18-D18))</f>
        <v>0</v>
      </c>
      <c r="H18" s="15" t="str">
        <f>IF(A18&gt;$G$7,"",IF(K18&gt;B18,"Yes","No"))</f>
        <v>No</v>
      </c>
      <c r="I18" s="14">
        <f>IF(A18&gt;$G$7,"",IF(K18&gt;B18,K18-B18,0))</f>
        <v>0</v>
      </c>
      <c r="J18" s="14">
        <f t="shared" si="5"/>
        <v>0</v>
      </c>
      <c r="K18" s="1"/>
      <c r="L18" s="17">
        <f>IF(E18="","",IF(L17=0,0,ROUNDUP((F18+J18),0)))</f>
        <v>1363</v>
      </c>
      <c r="M18" s="35"/>
    </row>
    <row r="19" spans="1:13" x14ac:dyDescent="0.25">
      <c r="A19" s="8">
        <v>11</v>
      </c>
      <c r="B19" s="12" t="str">
        <f>IF($G$7&lt;A19,"",IF($G$7&gt;$G$6,B18+14,EDATE(B18,1)))</f>
        <v/>
      </c>
      <c r="C19" s="13" t="str">
        <f t="shared" si="7"/>
        <v/>
      </c>
      <c r="D19" s="14" t="str">
        <f t="shared" ref="D19:D28" si="10">IF(C19="","",F19-E19)</f>
        <v/>
      </c>
      <c r="E19" s="37" t="str">
        <f t="shared" ref="E19:E28" si="11">IF(C19="","",IF($G$6=$G$7,ROUND(C19*($G$2/12),2),ROUND(C19*($G$2/24),2)))</f>
        <v/>
      </c>
      <c r="F19" s="14" t="str">
        <f t="shared" ref="F19:F28" si="12">IF(B19="","",IF(C19+E19&lt;(IF($G$6=$G$7,ROUNDUP(($C$9*$G$2/12)/(1-(1+$G$2/12)^-$G$6),0),ROUNDUP(($C$9*$G$2/24)/(1-(1+$G$2/24)^-$G$7),0))),C19+E19,IF($G$6=$G$7,ROUNDUP(($C$9*$G$2/12)/(1-(1+$G$2/12)^-$G$6),0),ROUNDUP(($C$9*$G$2/24)/(1-(1+$G$2/24)^-$G$7),0))))</f>
        <v/>
      </c>
      <c r="G19" s="14" t="str">
        <f t="shared" ref="G19:G28" si="13">IF(E19="","",IF(M19&lt;&gt;"",C19-D19-ROUNDDOWN((M19-L19),0),C19-D19))</f>
        <v/>
      </c>
      <c r="H19" s="15" t="str">
        <f t="shared" ref="H19:H28" si="14">IF(A19&gt;$G$7,"",IF(K19&gt;B19,"Yes","No"))</f>
        <v/>
      </c>
      <c r="I19" s="14" t="str">
        <f t="shared" ref="I19:I28" si="15">IF(A19&gt;$G$7,"",IF(K19&gt;B19,K19-B19,0))</f>
        <v/>
      </c>
      <c r="J19" s="14" t="str">
        <f t="shared" ref="J19:J28" si="16">IF(A19&gt;$G$7,"",IF(H19="YES",IF((SUM(C19,E19)*$G$2*15/365/15*I19)&gt;=(10*I19),(10*I19),IF((SUM(C19,E19)*$G$2*15/365/15*I19)&lt;=(3*I19),(3*I19),(SUM(C19,E19)*$G$2*15/365/15*I19))),0))</f>
        <v/>
      </c>
      <c r="K19" s="1"/>
      <c r="L19" s="17" t="str">
        <f t="shared" ref="L19:L28" si="17">IF(E19="","",IF(L18=0,0,ROUNDUP((F19+J19),0)))</f>
        <v/>
      </c>
      <c r="M19" s="2"/>
    </row>
    <row r="20" spans="1:13" x14ac:dyDescent="0.25">
      <c r="A20" s="8">
        <v>12</v>
      </c>
      <c r="B20" s="12" t="str">
        <f t="shared" si="6"/>
        <v/>
      </c>
      <c r="C20" s="13" t="str">
        <f t="shared" si="7"/>
        <v/>
      </c>
      <c r="D20" s="14" t="str">
        <f t="shared" si="10"/>
        <v/>
      </c>
      <c r="E20" s="37" t="str">
        <f t="shared" si="11"/>
        <v/>
      </c>
      <c r="F20" s="14" t="str">
        <f t="shared" si="12"/>
        <v/>
      </c>
      <c r="G20" s="14" t="str">
        <f t="shared" si="13"/>
        <v/>
      </c>
      <c r="H20" s="15" t="str">
        <f t="shared" si="14"/>
        <v/>
      </c>
      <c r="I20" s="14" t="str">
        <f t="shared" si="15"/>
        <v/>
      </c>
      <c r="J20" s="14" t="str">
        <f t="shared" si="16"/>
        <v/>
      </c>
      <c r="K20" s="1"/>
      <c r="L20" s="17" t="str">
        <f t="shared" si="17"/>
        <v/>
      </c>
      <c r="M20" s="2"/>
    </row>
    <row r="21" spans="1:13" x14ac:dyDescent="0.25">
      <c r="A21" s="8">
        <v>13</v>
      </c>
      <c r="B21" s="12" t="str">
        <f t="shared" si="6"/>
        <v/>
      </c>
      <c r="C21" s="13" t="str">
        <f t="shared" si="7"/>
        <v/>
      </c>
      <c r="D21" s="14" t="str">
        <f t="shared" si="10"/>
        <v/>
      </c>
      <c r="E21" s="37" t="str">
        <f t="shared" si="11"/>
        <v/>
      </c>
      <c r="F21" s="14" t="str">
        <f t="shared" si="12"/>
        <v/>
      </c>
      <c r="G21" s="14" t="str">
        <f t="shared" si="13"/>
        <v/>
      </c>
      <c r="H21" s="15" t="str">
        <f t="shared" si="14"/>
        <v/>
      </c>
      <c r="I21" s="14" t="str">
        <f t="shared" si="15"/>
        <v/>
      </c>
      <c r="J21" s="14" t="str">
        <f t="shared" si="16"/>
        <v/>
      </c>
      <c r="K21" s="1"/>
      <c r="L21" s="17" t="str">
        <f t="shared" si="17"/>
        <v/>
      </c>
      <c r="M21" s="2"/>
    </row>
    <row r="22" spans="1:13" x14ac:dyDescent="0.25">
      <c r="A22" s="8">
        <v>14</v>
      </c>
      <c r="B22" s="12" t="str">
        <f t="shared" si="6"/>
        <v/>
      </c>
      <c r="C22" s="13" t="str">
        <f t="shared" si="7"/>
        <v/>
      </c>
      <c r="D22" s="14" t="str">
        <f t="shared" si="10"/>
        <v/>
      </c>
      <c r="E22" s="37" t="str">
        <f t="shared" si="11"/>
        <v/>
      </c>
      <c r="F22" s="14" t="str">
        <f t="shared" si="12"/>
        <v/>
      </c>
      <c r="G22" s="14" t="str">
        <f t="shared" si="13"/>
        <v/>
      </c>
      <c r="H22" s="15" t="str">
        <f t="shared" si="14"/>
        <v/>
      </c>
      <c r="I22" s="14" t="str">
        <f t="shared" si="15"/>
        <v/>
      </c>
      <c r="J22" s="14" t="str">
        <f t="shared" si="16"/>
        <v/>
      </c>
      <c r="K22" s="1"/>
      <c r="L22" s="17" t="str">
        <f t="shared" si="17"/>
        <v/>
      </c>
      <c r="M22" s="2"/>
    </row>
    <row r="23" spans="1:13" x14ac:dyDescent="0.25">
      <c r="A23" s="8">
        <v>15</v>
      </c>
      <c r="B23" s="12" t="str">
        <f t="shared" si="6"/>
        <v/>
      </c>
      <c r="C23" s="13" t="str">
        <f t="shared" si="7"/>
        <v/>
      </c>
      <c r="D23" s="14" t="str">
        <f t="shared" si="10"/>
        <v/>
      </c>
      <c r="E23" s="37" t="str">
        <f t="shared" si="11"/>
        <v/>
      </c>
      <c r="F23" s="14" t="str">
        <f t="shared" si="12"/>
        <v/>
      </c>
      <c r="G23" s="14" t="str">
        <f t="shared" si="13"/>
        <v/>
      </c>
      <c r="H23" s="15" t="str">
        <f t="shared" si="14"/>
        <v/>
      </c>
      <c r="I23" s="14" t="str">
        <f t="shared" si="15"/>
        <v/>
      </c>
      <c r="J23" s="14" t="str">
        <f t="shared" si="16"/>
        <v/>
      </c>
      <c r="K23" s="1"/>
      <c r="L23" s="17" t="str">
        <f t="shared" si="17"/>
        <v/>
      </c>
      <c r="M23" s="2"/>
    </row>
    <row r="24" spans="1:13" x14ac:dyDescent="0.25">
      <c r="A24" s="8">
        <v>16</v>
      </c>
      <c r="B24" s="12" t="str">
        <f t="shared" si="6"/>
        <v/>
      </c>
      <c r="C24" s="13" t="str">
        <f t="shared" si="7"/>
        <v/>
      </c>
      <c r="D24" s="14" t="str">
        <f t="shared" si="10"/>
        <v/>
      </c>
      <c r="E24" s="37" t="str">
        <f t="shared" si="11"/>
        <v/>
      </c>
      <c r="F24" s="14" t="str">
        <f t="shared" si="12"/>
        <v/>
      </c>
      <c r="G24" s="14" t="str">
        <f t="shared" si="13"/>
        <v/>
      </c>
      <c r="H24" s="15" t="str">
        <f t="shared" si="14"/>
        <v/>
      </c>
      <c r="I24" s="14" t="str">
        <f t="shared" si="15"/>
        <v/>
      </c>
      <c r="J24" s="14" t="str">
        <f t="shared" si="16"/>
        <v/>
      </c>
      <c r="K24" s="1"/>
      <c r="L24" s="17" t="str">
        <f t="shared" si="17"/>
        <v/>
      </c>
      <c r="M24" s="2"/>
    </row>
    <row r="25" spans="1:13" x14ac:dyDescent="0.25">
      <c r="A25" s="8">
        <v>17</v>
      </c>
      <c r="B25" s="12" t="str">
        <f t="shared" si="6"/>
        <v/>
      </c>
      <c r="C25" s="13" t="str">
        <f t="shared" si="7"/>
        <v/>
      </c>
      <c r="D25" s="14" t="str">
        <f t="shared" si="10"/>
        <v/>
      </c>
      <c r="E25" s="37" t="str">
        <f t="shared" si="11"/>
        <v/>
      </c>
      <c r="F25" s="14" t="str">
        <f t="shared" si="12"/>
        <v/>
      </c>
      <c r="G25" s="14" t="str">
        <f t="shared" si="13"/>
        <v/>
      </c>
      <c r="H25" s="15" t="str">
        <f t="shared" si="14"/>
        <v/>
      </c>
      <c r="I25" s="14" t="str">
        <f t="shared" si="15"/>
        <v/>
      </c>
      <c r="J25" s="14" t="str">
        <f t="shared" si="16"/>
        <v/>
      </c>
      <c r="K25" s="1"/>
      <c r="L25" s="17" t="str">
        <f t="shared" si="17"/>
        <v/>
      </c>
      <c r="M25" s="2"/>
    </row>
    <row r="26" spans="1:13" x14ac:dyDescent="0.25">
      <c r="A26" s="8">
        <v>18</v>
      </c>
      <c r="B26" s="12" t="str">
        <f t="shared" si="6"/>
        <v/>
      </c>
      <c r="C26" s="13" t="str">
        <f t="shared" si="7"/>
        <v/>
      </c>
      <c r="D26" s="14" t="str">
        <f t="shared" si="10"/>
        <v/>
      </c>
      <c r="E26" s="37" t="str">
        <f t="shared" si="11"/>
        <v/>
      </c>
      <c r="F26" s="14" t="str">
        <f t="shared" si="12"/>
        <v/>
      </c>
      <c r="G26" s="14" t="str">
        <f t="shared" si="13"/>
        <v/>
      </c>
      <c r="H26" s="15" t="str">
        <f t="shared" si="14"/>
        <v/>
      </c>
      <c r="I26" s="14" t="str">
        <f t="shared" si="15"/>
        <v/>
      </c>
      <c r="J26" s="14" t="str">
        <f t="shared" si="16"/>
        <v/>
      </c>
      <c r="K26" s="1"/>
      <c r="L26" s="17" t="str">
        <f t="shared" si="17"/>
        <v/>
      </c>
      <c r="M26" s="2"/>
    </row>
    <row r="27" spans="1:13" x14ac:dyDescent="0.25">
      <c r="A27" s="8">
        <v>19</v>
      </c>
      <c r="B27" s="12" t="str">
        <f t="shared" si="6"/>
        <v/>
      </c>
      <c r="C27" s="13" t="str">
        <f t="shared" si="7"/>
        <v/>
      </c>
      <c r="D27" s="14" t="str">
        <f t="shared" si="10"/>
        <v/>
      </c>
      <c r="E27" s="37" t="str">
        <f t="shared" si="11"/>
        <v/>
      </c>
      <c r="F27" s="14" t="str">
        <f t="shared" si="12"/>
        <v/>
      </c>
      <c r="G27" s="14" t="str">
        <f t="shared" si="13"/>
        <v/>
      </c>
      <c r="H27" s="15" t="str">
        <f t="shared" si="14"/>
        <v/>
      </c>
      <c r="I27" s="14" t="str">
        <f t="shared" si="15"/>
        <v/>
      </c>
      <c r="J27" s="14" t="str">
        <f t="shared" si="16"/>
        <v/>
      </c>
      <c r="K27" s="1"/>
      <c r="L27" s="17" t="str">
        <f t="shared" si="17"/>
        <v/>
      </c>
      <c r="M27" s="2"/>
    </row>
    <row r="28" spans="1:13" ht="15.75" thickBot="1" x14ac:dyDescent="0.3">
      <c r="A28" s="9">
        <v>20</v>
      </c>
      <c r="B28" s="12" t="str">
        <f t="shared" si="6"/>
        <v/>
      </c>
      <c r="C28" s="13" t="str">
        <f t="shared" si="7"/>
        <v/>
      </c>
      <c r="D28" s="14" t="str">
        <f t="shared" si="10"/>
        <v/>
      </c>
      <c r="E28" s="37" t="str">
        <f t="shared" si="11"/>
        <v/>
      </c>
      <c r="F28" s="14" t="str">
        <f t="shared" si="12"/>
        <v/>
      </c>
      <c r="G28" s="14" t="str">
        <f t="shared" si="13"/>
        <v/>
      </c>
      <c r="H28" s="15" t="str">
        <f t="shared" si="14"/>
        <v/>
      </c>
      <c r="I28" s="14" t="str">
        <f t="shared" si="15"/>
        <v/>
      </c>
      <c r="J28" s="14" t="str">
        <f t="shared" si="16"/>
        <v/>
      </c>
      <c r="K28" s="1"/>
      <c r="L28" s="17" t="str">
        <f t="shared" si="17"/>
        <v/>
      </c>
      <c r="M28" s="2"/>
    </row>
    <row r="30" spans="1:13" x14ac:dyDescent="0.25">
      <c r="G30" s="46"/>
    </row>
  </sheetData>
  <mergeCells count="6">
    <mergeCell ref="C7:D7"/>
    <mergeCell ref="H7:K7"/>
    <mergeCell ref="A1:M1"/>
    <mergeCell ref="H3:L3"/>
    <mergeCell ref="B2:E2"/>
    <mergeCell ref="B3:E3"/>
  </mergeCells>
  <conditionalFormatting sqref="H9:H28">
    <cfRule type="containsText" dxfId="11" priority="6" operator="containsText" text="Yes">
      <formula>NOT(ISERROR(SEARCH("Yes",H9)))</formula>
    </cfRule>
  </conditionalFormatting>
  <conditionalFormatting sqref="G2">
    <cfRule type="cellIs" dxfId="10" priority="5" operator="equal">
      <formula>0.4</formula>
    </cfRule>
  </conditionalFormatting>
  <conditionalFormatting sqref="G30 C9:M28">
    <cfRule type="cellIs" dxfId="0" priority="4" operator="lessThanOrEqual">
      <formula>-1</formula>
    </cfRule>
  </conditionalFormatting>
  <conditionalFormatting sqref="O8">
    <cfRule type="cellIs" dxfId="9" priority="3" operator="lessThanOrEqual">
      <formula>-1</formula>
    </cfRule>
  </conditionalFormatting>
  <conditionalFormatting sqref="O8">
    <cfRule type="cellIs" dxfId="8" priority="2" operator="lessThanOrEqual">
      <formula>-1</formula>
    </cfRule>
  </conditionalFormatting>
  <conditionalFormatting sqref="K9">
    <cfRule type="cellIs" dxfId="7" priority="1" operator="lessThanOrEqual">
      <formula>-1</formula>
    </cfRule>
  </conditionalFormatting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3" sqref="E3"/>
    </sheetView>
  </sheetViews>
  <sheetFormatPr defaultRowHeight="15" x14ac:dyDescent="0.25"/>
  <cols>
    <col min="5" max="5" width="16.42578125" bestFit="1" customWidth="1"/>
  </cols>
  <sheetData>
    <row r="1" spans="1:7" x14ac:dyDescent="0.25">
      <c r="A1" s="29">
        <f>Name!G6</f>
        <v>10</v>
      </c>
    </row>
    <row r="2" spans="1:7" x14ac:dyDescent="0.25">
      <c r="A2">
        <f>Name!G6*2</f>
        <v>20</v>
      </c>
      <c r="E2" t="s">
        <v>33</v>
      </c>
      <c r="F2" t="s">
        <v>32</v>
      </c>
    </row>
    <row r="3" spans="1:7" x14ac:dyDescent="0.25">
      <c r="E3">
        <v>5</v>
      </c>
      <c r="F3" s="65"/>
    </row>
    <row r="5" spans="1:7" x14ac:dyDescent="0.25">
      <c r="E5">
        <f>IF((E3*F3)=0,0,IF((E3*F3)&gt;=50,50,IF((E3*F3)&lt;=10,10,(E3*F3))))</f>
        <v>0</v>
      </c>
      <c r="G5">
        <f>IF((E3*F3)&gt;=30,30,((E3*F3)))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Name</vt:lpstr>
      <vt:lpstr>Sheet1</vt:lpstr>
    </vt:vector>
  </TitlesOfParts>
  <Company>EMLYON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vince</cp:lastModifiedBy>
  <dcterms:created xsi:type="dcterms:W3CDTF">2011-10-13T09:43:49Z</dcterms:created>
  <dcterms:modified xsi:type="dcterms:W3CDTF">2012-07-09T11:40:25Z</dcterms:modified>
</cp:coreProperties>
</file>